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 codeName="{AE6600E7-7A62-396C-DE95-9942FA9DD81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50769FC-5783-4E60-A539-05E7870767FC}" xr6:coauthVersionLast="47" xr6:coauthVersionMax="47" xr10:uidLastSave="{00000000-0000-0000-0000-000000000000}"/>
  <workbookProtection workbookAlgorithmName="SHA-512" workbookHashValue="5EhAvBfsXIOHJMZ+CxluJIrwDT0lo5MISbDdmLgfRGuGThsSjhpV+JRKav+OJU1uSvT3QsTQDZa4udn0SgGCiQ==" workbookSaltValue="SviIogeJQanmqEM5SzPheA==" workbookSpinCount="100000" lockStructure="1"/>
  <bookViews>
    <workbookView xWindow="-120" yWindow="-120" windowWidth="29040" windowHeight="15840" tabRatio="740" activeTab="2" xr2:uid="{00000000-000D-0000-FFFF-FFFF00000000}"/>
  </bookViews>
  <sheets>
    <sheet name="Příkaz" sheetId="14" r:id="rId1"/>
    <sheet name="Vyúčtování test" sheetId="11" state="veryHidden" r:id="rId2"/>
    <sheet name="Vyúčtování" sheetId="15" r:id="rId3"/>
    <sheet name="Zpráva o cestě" sheetId="20" r:id="rId4"/>
    <sheet name="Kurzy CNB" sheetId="19" r:id="rId5"/>
    <sheet name="List1" sheetId="12" state="veryHidden" r:id="rId6"/>
  </sheets>
  <externalReferences>
    <externalReference r:id="rId7"/>
  </externalReferences>
  <definedNames>
    <definedName name="ExterníData_1" localSheetId="4" hidden="1">'Kurzy CNB'!$A$1:$AH$166</definedName>
    <definedName name="_xlnm.Print_Area" localSheetId="0">Příkaz!$B$1:$R$79</definedName>
    <definedName name="_xlnm.Print_Area" localSheetId="2">Vyúčtování!$A$1:$Z$62</definedName>
    <definedName name="_xlnm.Print_Area" localSheetId="1">'Vyúčtování test'!$A$1:$S$58,'Vyúčtování test'!$Y$3:$AH$19</definedName>
    <definedName name="_xlnm.Print_Area" localSheetId="3">'Zpráva o cestě'!$A$1:$R$54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20" l="1"/>
  <c r="F8" i="20"/>
  <c r="AB1" i="15" l="1"/>
  <c r="AB1" i="12"/>
  <c r="AD4" i="12"/>
  <c r="AA4" i="12"/>
  <c r="AA5" i="12" l="1"/>
  <c r="AD5" i="12"/>
  <c r="E4" i="15"/>
  <c r="E5" i="15"/>
  <c r="E3" i="15"/>
  <c r="AA6" i="12" l="1"/>
  <c r="AD6" i="12"/>
  <c r="H20" i="20"/>
  <c r="K20" i="20" s="1"/>
  <c r="H18" i="20"/>
  <c r="I14" i="20"/>
  <c r="F12" i="20"/>
  <c r="F10" i="20"/>
  <c r="I8" i="20"/>
  <c r="F6" i="20"/>
  <c r="F4" i="20"/>
  <c r="AA7" i="12" l="1"/>
  <c r="AD7" i="12"/>
  <c r="K56" i="15"/>
  <c r="Q56" i="15" s="1"/>
  <c r="W56" i="15"/>
  <c r="K57" i="15"/>
  <c r="P57" i="15" s="1"/>
  <c r="W57" i="15"/>
  <c r="K58" i="15"/>
  <c r="Q58" i="15" s="1"/>
  <c r="W58" i="15"/>
  <c r="AA8" i="12" l="1"/>
  <c r="AD8" i="12"/>
  <c r="Q57" i="15"/>
  <c r="P56" i="15"/>
  <c r="AA9" i="12" l="1"/>
  <c r="AD9" i="12"/>
  <c r="T56" i="15"/>
  <c r="AA10" i="12" l="1"/>
  <c r="AD10" i="12"/>
  <c r="O35" i="14"/>
  <c r="AA11" i="12" l="1"/>
  <c r="AD11" i="12"/>
  <c r="D35" i="14"/>
  <c r="AA12" i="12" l="1"/>
  <c r="AD12" i="12"/>
  <c r="G9" i="15"/>
  <c r="AA13" i="12" l="1"/>
  <c r="AD13" i="12"/>
  <c r="N10" i="15"/>
  <c r="AA14" i="12" l="1"/>
  <c r="AD14" i="12"/>
  <c r="O17" i="15"/>
  <c r="AB17" i="15" s="1"/>
  <c r="O13" i="15"/>
  <c r="AB13" i="15" s="1"/>
  <c r="O14" i="15"/>
  <c r="AB14" i="15" s="1"/>
  <c r="O12" i="15"/>
  <c r="AB12" i="15" s="1"/>
  <c r="AL13" i="15"/>
  <c r="F42" i="14"/>
  <c r="AA15" i="12" l="1"/>
  <c r="AD15" i="12"/>
  <c r="P2" i="12"/>
  <c r="F16" i="20" s="1"/>
  <c r="AA16" i="12" l="1"/>
  <c r="AD16" i="12"/>
  <c r="X34" i="14"/>
  <c r="I22" i="15"/>
  <c r="R32" i="14"/>
  <c r="N18" i="14"/>
  <c r="AA17" i="12" l="1"/>
  <c r="AD17" i="12"/>
  <c r="B56" i="14"/>
  <c r="C54" i="14"/>
  <c r="AA18" i="12" l="1"/>
  <c r="AD18" i="12"/>
  <c r="W44" i="15"/>
  <c r="W55" i="15"/>
  <c r="W54" i="15"/>
  <c r="W53" i="15"/>
  <c r="W52" i="15"/>
  <c r="W51" i="15"/>
  <c r="W50" i="15"/>
  <c r="W49" i="15"/>
  <c r="W48" i="15"/>
  <c r="W47" i="15"/>
  <c r="W46" i="15"/>
  <c r="W45" i="15"/>
  <c r="W43" i="15"/>
  <c r="W42" i="15"/>
  <c r="W41" i="15"/>
  <c r="W40" i="15"/>
  <c r="W39" i="15"/>
  <c r="W38" i="15"/>
  <c r="W37" i="15"/>
  <c r="W36" i="15"/>
  <c r="W35" i="15"/>
  <c r="W34" i="15"/>
  <c r="W33" i="15"/>
  <c r="W32" i="15"/>
  <c r="W31" i="15"/>
  <c r="W30" i="15"/>
  <c r="W29" i="15"/>
  <c r="W28" i="15"/>
  <c r="K46" i="15"/>
  <c r="K47" i="15"/>
  <c r="K48" i="15"/>
  <c r="K49" i="15"/>
  <c r="K50" i="15"/>
  <c r="K51" i="15"/>
  <c r="K52" i="15"/>
  <c r="K53" i="15"/>
  <c r="K54" i="15"/>
  <c r="K55" i="15"/>
  <c r="K45" i="15"/>
  <c r="K44" i="15"/>
  <c r="I16" i="15"/>
  <c r="I26" i="15"/>
  <c r="I28" i="15"/>
  <c r="AA19" i="12" l="1"/>
  <c r="AD19" i="12"/>
  <c r="Q49" i="15"/>
  <c r="Q48" i="15"/>
  <c r="Q52" i="15"/>
  <c r="Q47" i="15"/>
  <c r="Q46" i="15"/>
  <c r="Q53" i="15"/>
  <c r="Q50" i="15"/>
  <c r="Q44" i="15"/>
  <c r="Q51" i="15"/>
  <c r="Q45" i="15"/>
  <c r="P50" i="15"/>
  <c r="P52" i="15"/>
  <c r="P46" i="15"/>
  <c r="P49" i="15"/>
  <c r="P51" i="15"/>
  <c r="P48" i="15"/>
  <c r="P47" i="15"/>
  <c r="P54" i="15"/>
  <c r="P44" i="15"/>
  <c r="I24" i="15"/>
  <c r="I27" i="15"/>
  <c r="AA14" i="15" s="1"/>
  <c r="AC14" i="15" s="1"/>
  <c r="I25" i="15"/>
  <c r="AA12" i="15" s="1"/>
  <c r="AC12" i="15" s="1"/>
  <c r="I23" i="15"/>
  <c r="E17" i="15"/>
  <c r="I17" i="15" s="1"/>
  <c r="AA20" i="12" l="1"/>
  <c r="AD20" i="12"/>
  <c r="T46" i="15"/>
  <c r="T50" i="15"/>
  <c r="T49" i="15"/>
  <c r="T51" i="15"/>
  <c r="T48" i="15"/>
  <c r="AL11" i="15"/>
  <c r="AL21" i="15" s="1"/>
  <c r="AA21" i="12" l="1"/>
  <c r="AD21" i="12"/>
  <c r="H12" i="15"/>
  <c r="G21" i="15" s="1"/>
  <c r="I21" i="15" s="1"/>
  <c r="AA13" i="15" s="1"/>
  <c r="AC13" i="15" s="1"/>
  <c r="AD9" i="11"/>
  <c r="AD8" i="11"/>
  <c r="AA22" i="12" l="1"/>
  <c r="AD22" i="12"/>
  <c r="K27" i="11"/>
  <c r="AA23" i="12" l="1"/>
  <c r="AD23" i="12"/>
  <c r="AS17" i="15"/>
  <c r="AS16" i="15"/>
  <c r="AR16" i="15"/>
  <c r="AS14" i="15"/>
  <c r="AR14" i="15"/>
  <c r="AQ14" i="15"/>
  <c r="AA24" i="12" l="1"/>
  <c r="AD24" i="12"/>
  <c r="AI1" i="15"/>
  <c r="S8" i="15"/>
  <c r="S9" i="15"/>
  <c r="S10" i="15"/>
  <c r="S7" i="15"/>
  <c r="AA25" i="12" l="1"/>
  <c r="AD25" i="12"/>
  <c r="R58" i="15"/>
  <c r="S58" i="15" s="1"/>
  <c r="R56" i="15"/>
  <c r="S56" i="15" s="1"/>
  <c r="R57" i="15"/>
  <c r="S57" i="15" s="1"/>
  <c r="T57" i="15" s="1"/>
  <c r="R49" i="15"/>
  <c r="S49" i="15" s="1"/>
  <c r="R50" i="15"/>
  <c r="S50" i="15" s="1"/>
  <c r="R46" i="15"/>
  <c r="S46" i="15" s="1"/>
  <c r="R48" i="15"/>
  <c r="S48" i="15" s="1"/>
  <c r="R51" i="15"/>
  <c r="S51" i="15" s="1"/>
  <c r="R47" i="15"/>
  <c r="S47" i="15" s="1"/>
  <c r="T47" i="15" s="1"/>
  <c r="R44" i="15"/>
  <c r="S44" i="15" s="1"/>
  <c r="T44" i="15" s="1"/>
  <c r="R52" i="15"/>
  <c r="S52" i="15" s="1"/>
  <c r="T52" i="15" s="1"/>
  <c r="R53" i="15"/>
  <c r="S53" i="15" s="1"/>
  <c r="P53" i="15"/>
  <c r="T53" i="15" s="1"/>
  <c r="P58" i="15"/>
  <c r="T58" i="15" s="1"/>
  <c r="Q55" i="15"/>
  <c r="Q54" i="15"/>
  <c r="R45" i="15"/>
  <c r="S45" i="15" s="1"/>
  <c r="R54" i="15"/>
  <c r="R55" i="15"/>
  <c r="P45" i="15"/>
  <c r="P55" i="15"/>
  <c r="G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28" i="15"/>
  <c r="R28" i="15" s="1"/>
  <c r="K27" i="15"/>
  <c r="R27" i="15" s="1"/>
  <c r="AA26" i="12" l="1"/>
  <c r="AD26" i="12"/>
  <c r="U46" i="15"/>
  <c r="X46" i="15" s="1"/>
  <c r="V46" i="15"/>
  <c r="Y46" i="15" s="1"/>
  <c r="AA46" i="15" s="1"/>
  <c r="U50" i="15"/>
  <c r="X50" i="15" s="1"/>
  <c r="V50" i="15"/>
  <c r="Y50" i="15" s="1"/>
  <c r="AA50" i="15" s="1"/>
  <c r="V48" i="15"/>
  <c r="Y48" i="15" s="1"/>
  <c r="AA48" i="15" s="1"/>
  <c r="U48" i="15"/>
  <c r="X48" i="15" s="1"/>
  <c r="V49" i="15"/>
  <c r="Y49" i="15" s="1"/>
  <c r="AA49" i="15" s="1"/>
  <c r="U49" i="15"/>
  <c r="X49" i="15" s="1"/>
  <c r="U52" i="15"/>
  <c r="X52" i="15" s="1"/>
  <c r="V52" i="15"/>
  <c r="Y52" i="15" s="1"/>
  <c r="AA52" i="15" s="1"/>
  <c r="U51" i="15"/>
  <c r="X51" i="15" s="1"/>
  <c r="V51" i="15"/>
  <c r="Y51" i="15" s="1"/>
  <c r="AA51" i="15" s="1"/>
  <c r="V57" i="15"/>
  <c r="Y57" i="15" s="1"/>
  <c r="U57" i="15"/>
  <c r="X57" i="15" s="1"/>
  <c r="V47" i="15"/>
  <c r="Y47" i="15" s="1"/>
  <c r="AA47" i="15" s="1"/>
  <c r="U47" i="15"/>
  <c r="X47" i="15" s="1"/>
  <c r="U56" i="15"/>
  <c r="X56" i="15" s="1"/>
  <c r="V56" i="15"/>
  <c r="Y56" i="15" s="1"/>
  <c r="AA56" i="15" s="1"/>
  <c r="V44" i="15"/>
  <c r="Y44" i="15" s="1"/>
  <c r="AA44" i="15" s="1"/>
  <c r="U44" i="15"/>
  <c r="X44" i="15" s="1"/>
  <c r="V53" i="15"/>
  <c r="Y53" i="15" s="1"/>
  <c r="S54" i="15"/>
  <c r="T54" i="15" s="1"/>
  <c r="U54" i="15" s="1"/>
  <c r="X54" i="15" s="1"/>
  <c r="S55" i="15"/>
  <c r="T55" i="15" s="1"/>
  <c r="V58" i="15"/>
  <c r="Y58" i="15" s="1"/>
  <c r="U58" i="15"/>
  <c r="X58" i="15" s="1"/>
  <c r="T45" i="15"/>
  <c r="V45" i="15" s="1"/>
  <c r="Y45" i="15" s="1"/>
  <c r="Q27" i="15"/>
  <c r="S27" i="15" s="1"/>
  <c r="Q28" i="15"/>
  <c r="S28" i="15" s="1"/>
  <c r="Q32" i="15"/>
  <c r="R32" i="15"/>
  <c r="Q33" i="15"/>
  <c r="R33" i="15"/>
  <c r="Q31" i="15"/>
  <c r="R31" i="15"/>
  <c r="R40" i="15"/>
  <c r="Q40" i="15"/>
  <c r="Q35" i="15"/>
  <c r="R35" i="15"/>
  <c r="R42" i="15"/>
  <c r="Q42" i="15"/>
  <c r="R30" i="15"/>
  <c r="Q30" i="15"/>
  <c r="R41" i="15"/>
  <c r="Q41" i="15"/>
  <c r="R34" i="15"/>
  <c r="Q34" i="15"/>
  <c r="Q43" i="15"/>
  <c r="R43" i="15"/>
  <c r="Q29" i="15"/>
  <c r="R29" i="15"/>
  <c r="Q39" i="15"/>
  <c r="R39" i="15"/>
  <c r="R38" i="15"/>
  <c r="Q38" i="15"/>
  <c r="R37" i="15"/>
  <c r="Q37" i="15"/>
  <c r="R36" i="15"/>
  <c r="Q36" i="15"/>
  <c r="U53" i="15"/>
  <c r="X53" i="15" s="1"/>
  <c r="P27" i="15"/>
  <c r="P40" i="15"/>
  <c r="P36" i="15"/>
  <c r="P32" i="15"/>
  <c r="P43" i="15"/>
  <c r="P39" i="15"/>
  <c r="P42" i="15"/>
  <c r="P38" i="15"/>
  <c r="P34" i="15"/>
  <c r="P30" i="15"/>
  <c r="P41" i="15"/>
  <c r="P37" i="15"/>
  <c r="P29" i="15"/>
  <c r="P35" i="15"/>
  <c r="P31" i="15"/>
  <c r="P28" i="15"/>
  <c r="P33" i="15"/>
  <c r="J17" i="15"/>
  <c r="J16" i="15"/>
  <c r="T37" i="12"/>
  <c r="T38" i="12"/>
  <c r="T39" i="12"/>
  <c r="T40" i="12"/>
  <c r="T41" i="12"/>
  <c r="T42" i="12"/>
  <c r="T43" i="12"/>
  <c r="T44" i="12"/>
  <c r="T45" i="12"/>
  <c r="T46" i="12"/>
  <c r="T47" i="12"/>
  <c r="T48" i="12"/>
  <c r="T49" i="12"/>
  <c r="T50" i="12"/>
  <c r="T51" i="12"/>
  <c r="T52" i="12"/>
  <c r="T53" i="12"/>
  <c r="T54" i="12"/>
  <c r="T55" i="12"/>
  <c r="T56" i="12"/>
  <c r="T57" i="12"/>
  <c r="T58" i="12"/>
  <c r="T59" i="12"/>
  <c r="T60" i="12"/>
  <c r="T61" i="12"/>
  <c r="T62" i="12"/>
  <c r="T63" i="12"/>
  <c r="T64" i="12"/>
  <c r="T65" i="12"/>
  <c r="T66" i="12"/>
  <c r="T67" i="12"/>
  <c r="T68" i="12"/>
  <c r="T69" i="12"/>
  <c r="T70" i="12"/>
  <c r="T71" i="12"/>
  <c r="T72" i="12"/>
  <c r="T73" i="12"/>
  <c r="T74" i="12"/>
  <c r="T75" i="12"/>
  <c r="T76" i="12"/>
  <c r="T77" i="12"/>
  <c r="T78" i="12"/>
  <c r="T79" i="12"/>
  <c r="T80" i="12"/>
  <c r="T81" i="12"/>
  <c r="T82" i="12"/>
  <c r="T83" i="12"/>
  <c r="T84" i="12"/>
  <c r="T85" i="12"/>
  <c r="T86" i="12"/>
  <c r="T87" i="12"/>
  <c r="T88" i="12"/>
  <c r="T89" i="12"/>
  <c r="T90" i="12"/>
  <c r="T91" i="12"/>
  <c r="T92" i="12"/>
  <c r="T93" i="12"/>
  <c r="T94" i="12"/>
  <c r="T95" i="12"/>
  <c r="T96" i="12"/>
  <c r="T97" i="12"/>
  <c r="T98" i="12"/>
  <c r="T99" i="12"/>
  <c r="T100" i="12"/>
  <c r="T101" i="12"/>
  <c r="T102" i="12"/>
  <c r="T103" i="12"/>
  <c r="T104" i="12"/>
  <c r="T105" i="12"/>
  <c r="T106" i="12"/>
  <c r="T107" i="12"/>
  <c r="T108" i="12"/>
  <c r="T109" i="12"/>
  <c r="T110" i="12"/>
  <c r="T111" i="12"/>
  <c r="T112" i="12"/>
  <c r="T113" i="12"/>
  <c r="T114" i="12"/>
  <c r="T115" i="12"/>
  <c r="T116" i="12"/>
  <c r="T117" i="12"/>
  <c r="T118" i="12"/>
  <c r="T119" i="12"/>
  <c r="T120" i="12"/>
  <c r="T121" i="12"/>
  <c r="T122" i="12"/>
  <c r="T123" i="12"/>
  <c r="T124" i="12"/>
  <c r="T125" i="12"/>
  <c r="T126" i="12"/>
  <c r="T127" i="12"/>
  <c r="T128" i="12"/>
  <c r="T129" i="12"/>
  <c r="T130" i="12"/>
  <c r="T131" i="12"/>
  <c r="T132" i="12"/>
  <c r="T133" i="12"/>
  <c r="T134" i="12"/>
  <c r="T135" i="12"/>
  <c r="T136" i="12"/>
  <c r="T137" i="12"/>
  <c r="T138" i="12"/>
  <c r="T139" i="12"/>
  <c r="T140" i="12"/>
  <c r="T141" i="12"/>
  <c r="T142" i="12"/>
  <c r="T143" i="12"/>
  <c r="T144" i="12"/>
  <c r="T145" i="12"/>
  <c r="T146" i="12"/>
  <c r="T147" i="12"/>
  <c r="T148" i="12"/>
  <c r="T149" i="12"/>
  <c r="T150" i="12"/>
  <c r="T151" i="12"/>
  <c r="T152" i="12"/>
  <c r="T153" i="12"/>
  <c r="T154" i="12"/>
  <c r="T155" i="12"/>
  <c r="T156" i="12"/>
  <c r="T157" i="12"/>
  <c r="T158" i="12"/>
  <c r="T159" i="12"/>
  <c r="T160" i="12"/>
  <c r="T161" i="12"/>
  <c r="T162" i="12"/>
  <c r="T163" i="12"/>
  <c r="T164" i="12"/>
  <c r="T165" i="12"/>
  <c r="T166" i="12"/>
  <c r="T167" i="12"/>
  <c r="T168" i="12"/>
  <c r="T169" i="12"/>
  <c r="T170" i="12"/>
  <c r="T171" i="12"/>
  <c r="T172" i="12"/>
  <c r="T173" i="12"/>
  <c r="T174" i="12"/>
  <c r="T175" i="12"/>
  <c r="T176" i="12"/>
  <c r="T177" i="12"/>
  <c r="T178" i="12"/>
  <c r="T179" i="12"/>
  <c r="T180" i="12"/>
  <c r="O8" i="15"/>
  <c r="N8" i="15"/>
  <c r="AS27" i="15" s="1"/>
  <c r="AA27" i="12" l="1"/>
  <c r="AD27" i="12"/>
  <c r="AA57" i="15"/>
  <c r="S36" i="15"/>
  <c r="S34" i="15"/>
  <c r="V54" i="15"/>
  <c r="Y54" i="15" s="1"/>
  <c r="AA54" i="15" s="1"/>
  <c r="V55" i="15"/>
  <c r="Y55" i="15" s="1"/>
  <c r="U55" i="15"/>
  <c r="X55" i="15" s="1"/>
  <c r="AB55" i="15" s="1"/>
  <c r="S40" i="15"/>
  <c r="AB57" i="15"/>
  <c r="AB56" i="15"/>
  <c r="AA58" i="15"/>
  <c r="U45" i="15"/>
  <c r="X45" i="15" s="1"/>
  <c r="AA45" i="15" s="1"/>
  <c r="S37" i="15"/>
  <c r="T37" i="15" s="1"/>
  <c r="S38" i="15"/>
  <c r="T38" i="15" s="1"/>
  <c r="S35" i="15"/>
  <c r="T35" i="15" s="1"/>
  <c r="S43" i="15"/>
  <c r="T43" i="15" s="1"/>
  <c r="S33" i="15"/>
  <c r="T33" i="15" s="1"/>
  <c r="S39" i="15"/>
  <c r="T39" i="15" s="1"/>
  <c r="V39" i="15" s="1"/>
  <c r="Y39" i="15" s="1"/>
  <c r="S41" i="15"/>
  <c r="T41" i="15" s="1"/>
  <c r="S42" i="15"/>
  <c r="T42" i="15" s="1"/>
  <c r="S30" i="15"/>
  <c r="T30" i="15" s="1"/>
  <c r="V30" i="15" s="1"/>
  <c r="Y30" i="15" s="1"/>
  <c r="S31" i="15"/>
  <c r="T31" i="15" s="1"/>
  <c r="S32" i="15"/>
  <c r="T32" i="15" s="1"/>
  <c r="S29" i="15"/>
  <c r="T29" i="15" s="1"/>
  <c r="I30" i="15"/>
  <c r="AA53" i="15"/>
  <c r="AB52" i="15"/>
  <c r="AB50" i="15"/>
  <c r="AB49" i="15"/>
  <c r="AB51" i="15"/>
  <c r="AB47" i="15"/>
  <c r="AB44" i="15"/>
  <c r="T36" i="15"/>
  <c r="T40" i="15"/>
  <c r="V40" i="15" s="1"/>
  <c r="Y40" i="15" s="1"/>
  <c r="AB25" i="15"/>
  <c r="K23" i="15"/>
  <c r="T27" i="15"/>
  <c r="AR27" i="15"/>
  <c r="AQ27" i="15"/>
  <c r="AQ28" i="15" s="1"/>
  <c r="AS28" i="15"/>
  <c r="AB53" i="15" s="1"/>
  <c r="AS29" i="15"/>
  <c r="AS30" i="15"/>
  <c r="T28" i="15"/>
  <c r="V28" i="15" s="1"/>
  <c r="Y28" i="15" s="1"/>
  <c r="T34" i="15"/>
  <c r="I18" i="14"/>
  <c r="AA28" i="12" l="1"/>
  <c r="AD28" i="12"/>
  <c r="AA55" i="15"/>
  <c r="AB58" i="15"/>
  <c r="V38" i="15"/>
  <c r="Y38" i="15" s="1"/>
  <c r="U31" i="15"/>
  <c r="X31" i="15" s="1"/>
  <c r="V31" i="15"/>
  <c r="U27" i="15"/>
  <c r="X27" i="15" s="1"/>
  <c r="V27" i="15"/>
  <c r="Y27" i="15" s="1"/>
  <c r="V42" i="15"/>
  <c r="Y42" i="15" s="1"/>
  <c r="U41" i="15"/>
  <c r="X41" i="15" s="1"/>
  <c r="V41" i="15"/>
  <c r="Y41" i="15" s="1"/>
  <c r="U34" i="15"/>
  <c r="X34" i="15" s="1"/>
  <c r="V34" i="15"/>
  <c r="U29" i="15"/>
  <c r="X29" i="15" s="1"/>
  <c r="V29" i="15"/>
  <c r="V37" i="15"/>
  <c r="Y37" i="15" s="1"/>
  <c r="U35" i="15"/>
  <c r="X35" i="15" s="1"/>
  <c r="V35" i="15"/>
  <c r="U33" i="15"/>
  <c r="X33" i="15" s="1"/>
  <c r="V33" i="15"/>
  <c r="V36" i="15"/>
  <c r="Y36" i="15" s="1"/>
  <c r="U32" i="15"/>
  <c r="X32" i="15" s="1"/>
  <c r="V32" i="15"/>
  <c r="U43" i="15"/>
  <c r="X43" i="15" s="1"/>
  <c r="V43" i="15"/>
  <c r="Y43" i="15" s="1"/>
  <c r="U30" i="15"/>
  <c r="X30" i="15" s="1"/>
  <c r="AA30" i="15" s="1"/>
  <c r="U28" i="15"/>
  <c r="X28" i="15" s="1"/>
  <c r="AB45" i="15"/>
  <c r="AB54" i="15"/>
  <c r="AB46" i="15"/>
  <c r="AB48" i="15"/>
  <c r="U42" i="15"/>
  <c r="X42" i="15" s="1"/>
  <c r="U39" i="15"/>
  <c r="X39" i="15" s="1"/>
  <c r="U38" i="15"/>
  <c r="X38" i="15" s="1"/>
  <c r="U37" i="15"/>
  <c r="X37" i="15" s="1"/>
  <c r="U40" i="15"/>
  <c r="X40" i="15" s="1"/>
  <c r="U36" i="15"/>
  <c r="X36" i="15" s="1"/>
  <c r="AR29" i="15"/>
  <c r="AR28" i="15"/>
  <c r="W27" i="15"/>
  <c r="AM21" i="15"/>
  <c r="AP6" i="15"/>
  <c r="AA29" i="12" l="1"/>
  <c r="AD29" i="12"/>
  <c r="AA41" i="15"/>
  <c r="AA43" i="15"/>
  <c r="Y33" i="15"/>
  <c r="AA33" i="15" s="1"/>
  <c r="Y34" i="15"/>
  <c r="AA34" i="15" s="1"/>
  <c r="Y32" i="15"/>
  <c r="AA32" i="15" s="1"/>
  <c r="Y35" i="15"/>
  <c r="AA35" i="15" s="1"/>
  <c r="Y31" i="15"/>
  <c r="AA31" i="15" s="1"/>
  <c r="Y29" i="15"/>
  <c r="AA29" i="15" s="1"/>
  <c r="AB42" i="15"/>
  <c r="AB36" i="15"/>
  <c r="AB37" i="15"/>
  <c r="AA28" i="15"/>
  <c r="AB39" i="15"/>
  <c r="AA40" i="15"/>
  <c r="AA37" i="15"/>
  <c r="AB38" i="15"/>
  <c r="AB43" i="15"/>
  <c r="AB28" i="15"/>
  <c r="AA42" i="15"/>
  <c r="AB40" i="15"/>
  <c r="AB41" i="15"/>
  <c r="AA39" i="15"/>
  <c r="AA36" i="15"/>
  <c r="AA38" i="15"/>
  <c r="AB30" i="15"/>
  <c r="AB27" i="15"/>
  <c r="AA30" i="12" l="1"/>
  <c r="AD30" i="12"/>
  <c r="AB33" i="15"/>
  <c r="AB34" i="15"/>
  <c r="AB35" i="15"/>
  <c r="AB29" i="15"/>
  <c r="AB32" i="15"/>
  <c r="AB31" i="15"/>
  <c r="Q2" i="12"/>
  <c r="R2" i="12" s="1"/>
  <c r="AA31" i="12" l="1"/>
  <c r="AD31" i="12"/>
  <c r="B32" i="14"/>
  <c r="M23" i="15"/>
  <c r="O23" i="15" s="1"/>
  <c r="I19" i="11"/>
  <c r="I17" i="11"/>
  <c r="I15" i="11"/>
  <c r="I13" i="11"/>
  <c r="I11" i="11"/>
  <c r="I9" i="11"/>
  <c r="AA32" i="12" l="1"/>
  <c r="AD32" i="12"/>
  <c r="AA18" i="11"/>
  <c r="P27" i="11"/>
  <c r="N11" i="11"/>
  <c r="N13" i="11"/>
  <c r="N15" i="11"/>
  <c r="N17" i="11"/>
  <c r="N19" i="11"/>
  <c r="U7" i="11"/>
  <c r="U9" i="11"/>
  <c r="U11" i="11"/>
  <c r="U13" i="11"/>
  <c r="U15" i="11"/>
  <c r="U17" i="11"/>
  <c r="U19" i="11"/>
  <c r="U5" i="11"/>
  <c r="AA33" i="12" l="1"/>
  <c r="AD33" i="12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L21" i="11"/>
  <c r="M21" i="11"/>
  <c r="J21" i="11"/>
  <c r="T5" i="11"/>
  <c r="V5" i="11"/>
  <c r="W5" i="11" s="1"/>
  <c r="V6" i="11"/>
  <c r="T7" i="11"/>
  <c r="V7" i="11"/>
  <c r="W7" i="11" s="1"/>
  <c r="V8" i="11"/>
  <c r="T9" i="11"/>
  <c r="V9" i="11"/>
  <c r="W9" i="11" s="1"/>
  <c r="V10" i="11"/>
  <c r="T11" i="11"/>
  <c r="V11" i="11"/>
  <c r="W11" i="11" s="1"/>
  <c r="V12" i="11"/>
  <c r="T13" i="11"/>
  <c r="V13" i="11"/>
  <c r="W13" i="11" s="1"/>
  <c r="V14" i="11"/>
  <c r="T15" i="11"/>
  <c r="V15" i="11"/>
  <c r="W15" i="11" s="1"/>
  <c r="V16" i="11"/>
  <c r="T17" i="11"/>
  <c r="V17" i="11"/>
  <c r="W17" i="11" s="1"/>
  <c r="V18" i="11"/>
  <c r="T19" i="11"/>
  <c r="V19" i="11"/>
  <c r="W19" i="11" s="1"/>
  <c r="V20" i="11"/>
  <c r="AA34" i="12" l="1"/>
  <c r="AD34" i="12"/>
  <c r="W20" i="11"/>
  <c r="W16" i="11"/>
  <c r="W12" i="11"/>
  <c r="W8" i="11"/>
  <c r="W18" i="11"/>
  <c r="W14" i="11"/>
  <c r="W10" i="11"/>
  <c r="W6" i="11"/>
  <c r="AE9" i="11" s="1"/>
  <c r="AA35" i="12" l="1"/>
  <c r="AD35" i="12"/>
  <c r="AE8" i="11"/>
  <c r="AD6" i="11"/>
  <c r="AA36" i="12" l="1"/>
  <c r="AD36" i="12"/>
  <c r="K32" i="11"/>
  <c r="AA37" i="12" l="1"/>
  <c r="AD37" i="12"/>
  <c r="K35" i="11"/>
  <c r="K34" i="11"/>
  <c r="K28" i="11"/>
  <c r="O27" i="11" s="1"/>
  <c r="Q27" i="11" s="1"/>
  <c r="K31" i="11"/>
  <c r="O31" i="11" s="1"/>
  <c r="Q31" i="11" s="1"/>
  <c r="K33" i="11"/>
  <c r="O32" i="11" s="1"/>
  <c r="Q32" i="11" s="1"/>
  <c r="K43" i="11"/>
  <c r="O43" i="11" s="1"/>
  <c r="Q43" i="11" s="1"/>
  <c r="K30" i="11"/>
  <c r="K42" i="11"/>
  <c r="K41" i="11"/>
  <c r="K40" i="11"/>
  <c r="K39" i="11"/>
  <c r="K29" i="11"/>
  <c r="K38" i="11"/>
  <c r="K37" i="11"/>
  <c r="K36" i="11"/>
  <c r="AG16" i="11"/>
  <c r="AG15" i="11"/>
  <c r="AF15" i="11"/>
  <c r="AG14" i="11"/>
  <c r="AF14" i="11"/>
  <c r="AE14" i="11"/>
  <c r="Z11" i="11"/>
  <c r="Z18" i="11" s="1"/>
  <c r="AA38" i="12" l="1"/>
  <c r="AD38" i="12"/>
  <c r="Q5" i="11"/>
  <c r="N9" i="11"/>
  <c r="I7" i="11"/>
  <c r="N7" i="11" s="1"/>
  <c r="I5" i="11"/>
  <c r="N5" i="11" s="1"/>
  <c r="R32" i="11"/>
  <c r="O41" i="11"/>
  <c r="Q41" i="11" s="1"/>
  <c r="O38" i="11"/>
  <c r="Q38" i="11" s="1"/>
  <c r="O42" i="11"/>
  <c r="Q42" i="11" s="1"/>
  <c r="O37" i="11"/>
  <c r="Q37" i="11" s="1"/>
  <c r="R43" i="11"/>
  <c r="O39" i="11"/>
  <c r="Q39" i="11" s="1"/>
  <c r="O40" i="11"/>
  <c r="Q40" i="11" s="1"/>
  <c r="R31" i="11"/>
  <c r="O34" i="11"/>
  <c r="Q34" i="11" s="1"/>
  <c r="O35" i="11"/>
  <c r="Q35" i="11" s="1"/>
  <c r="O33" i="11"/>
  <c r="Q33" i="11" s="1"/>
  <c r="O36" i="11"/>
  <c r="Q36" i="11" s="1"/>
  <c r="O29" i="11"/>
  <c r="Q29" i="11" s="1"/>
  <c r="O28" i="11"/>
  <c r="O30" i="11"/>
  <c r="Q30" i="11" s="1"/>
  <c r="AA39" i="12" l="1"/>
  <c r="AD39" i="12"/>
  <c r="Q28" i="11"/>
  <c r="Q7" i="11" s="1"/>
  <c r="P24" i="11"/>
  <c r="Q24" i="11" s="1"/>
  <c r="R29" i="11"/>
  <c r="R42" i="11"/>
  <c r="R36" i="11"/>
  <c r="R38" i="11"/>
  <c r="R33" i="11"/>
  <c r="R41" i="11"/>
  <c r="R35" i="11"/>
  <c r="R34" i="11"/>
  <c r="R40" i="11"/>
  <c r="R30" i="11"/>
  <c r="R39" i="11"/>
  <c r="R37" i="11"/>
  <c r="I21" i="11"/>
  <c r="AA40" i="12" l="1"/>
  <c r="AD40" i="12"/>
  <c r="R28" i="11"/>
  <c r="R27" i="11"/>
  <c r="AA41" i="12" l="1"/>
  <c r="AD41" i="12"/>
  <c r="R26" i="11"/>
  <c r="K5" i="11" s="1"/>
  <c r="K21" i="11" s="1"/>
  <c r="N21" i="11" s="1"/>
  <c r="H23" i="11" s="1"/>
  <c r="AA42" i="12" l="1"/>
  <c r="AD42" i="12"/>
  <c r="N23" i="11"/>
  <c r="AA27" i="15"/>
  <c r="M22" i="15" s="1"/>
  <c r="AA43" i="12" l="1"/>
  <c r="AD43" i="12"/>
  <c r="O22" i="15"/>
  <c r="AA17" i="15" s="1"/>
  <c r="AC17" i="15" s="1"/>
  <c r="AA44" i="12" l="1"/>
  <c r="AD44" i="12"/>
  <c r="AC18" i="15"/>
  <c r="I29" i="15"/>
  <c r="I31" i="15" s="1"/>
  <c r="B31" i="15" s="1"/>
  <c r="AA45" i="12" l="1"/>
  <c r="AD45" i="12"/>
  <c r="AA46" i="12" l="1"/>
  <c r="AD46" i="12"/>
  <c r="AA47" i="12" l="1"/>
  <c r="AD47" i="12"/>
  <c r="AA48" i="12" l="1"/>
  <c r="AD48" i="12"/>
  <c r="AA49" i="12" l="1"/>
  <c r="AD49" i="12"/>
  <c r="AA50" i="12" l="1"/>
  <c r="AD50" i="12"/>
  <c r="AA51" i="12" l="1"/>
  <c r="AD51" i="12"/>
  <c r="AA52" i="12" l="1"/>
  <c r="AD52" i="12"/>
  <c r="AA53" i="12" l="1"/>
  <c r="AD53" i="12"/>
  <c r="AA54" i="12" l="1"/>
  <c r="AD54" i="12"/>
  <c r="AA55" i="12" l="1"/>
  <c r="AD55" i="12"/>
  <c r="AA56" i="12" l="1"/>
  <c r="AD56" i="12"/>
  <c r="AA57" i="12" l="1"/>
  <c r="AD57" i="12"/>
  <c r="AA58" i="12" l="1"/>
  <c r="AD58" i="12"/>
  <c r="AA59" i="12" l="1"/>
  <c r="AD59" i="12"/>
  <c r="AA60" i="12" l="1"/>
  <c r="AD60" i="12"/>
  <c r="AA61" i="12" l="1"/>
  <c r="AD61" i="12"/>
  <c r="AA62" i="12" l="1"/>
  <c r="AD62" i="12"/>
  <c r="AA63" i="12" l="1"/>
  <c r="AD63" i="12"/>
  <c r="AA64" i="12" l="1"/>
  <c r="AD64" i="12"/>
  <c r="AA65" i="12" l="1"/>
  <c r="AD65" i="12"/>
  <c r="AA66" i="12" l="1"/>
  <c r="AD66" i="12"/>
  <c r="AA67" i="12" l="1"/>
  <c r="AD67" i="12"/>
  <c r="AA68" i="12" l="1"/>
  <c r="AD68" i="12"/>
  <c r="AA69" i="12" l="1"/>
  <c r="AD69" i="12"/>
  <c r="AA70" i="12" l="1"/>
  <c r="AD70" i="12"/>
  <c r="AA71" i="12" l="1"/>
  <c r="AD71" i="12"/>
  <c r="AA72" i="12" l="1"/>
  <c r="AD72" i="12"/>
  <c r="AA73" i="12" l="1"/>
  <c r="AD73" i="12"/>
  <c r="AA74" i="12" l="1"/>
  <c r="AD74" i="12"/>
  <c r="AA75" i="12" l="1"/>
  <c r="AD75" i="12"/>
  <c r="AA76" i="12" l="1"/>
  <c r="AD76" i="12"/>
  <c r="AA77" i="12" l="1"/>
  <c r="AD77" i="12"/>
  <c r="AA78" i="12" l="1"/>
  <c r="AD78" i="12"/>
  <c r="AA79" i="12" l="1"/>
  <c r="AD79" i="12"/>
  <c r="AA80" i="12" l="1"/>
  <c r="AD80" i="12"/>
  <c r="AA81" i="12" l="1"/>
  <c r="AD81" i="12"/>
  <c r="AA82" i="12" l="1"/>
  <c r="AD82" i="12"/>
  <c r="AA83" i="12" l="1"/>
  <c r="AD83" i="12"/>
  <c r="AA84" i="12" l="1"/>
  <c r="AD84" i="12"/>
  <c r="AA85" i="12" l="1"/>
  <c r="AD85" i="12"/>
  <c r="AA86" i="12" l="1"/>
  <c r="AD86" i="12"/>
  <c r="AA87" i="12" l="1"/>
  <c r="AD87" i="12"/>
  <c r="AA88" i="12" l="1"/>
  <c r="AD88" i="12"/>
  <c r="AA89" i="12" l="1"/>
  <c r="AD89" i="12"/>
  <c r="AA90" i="12" l="1"/>
  <c r="AD90" i="12"/>
  <c r="AA91" i="12" l="1"/>
  <c r="AD91" i="12"/>
  <c r="AA92" i="12" l="1"/>
  <c r="AD92" i="12"/>
  <c r="AA93" i="12" l="1"/>
  <c r="AD93" i="12"/>
  <c r="AA94" i="12" l="1"/>
  <c r="AD94" i="12"/>
  <c r="AA95" i="12" l="1"/>
  <c r="AD95" i="12"/>
  <c r="AA96" i="12" l="1"/>
  <c r="AD96" i="12"/>
  <c r="AA97" i="12" l="1"/>
  <c r="AD97" i="12"/>
  <c r="AA98" i="12" l="1"/>
  <c r="AD98" i="12"/>
  <c r="AA99" i="12" l="1"/>
  <c r="AD99" i="12"/>
  <c r="AA100" i="12" l="1"/>
  <c r="AD100" i="12"/>
  <c r="AA101" i="12" l="1"/>
  <c r="AD101" i="12"/>
  <c r="AA102" i="12" l="1"/>
  <c r="AD102" i="12"/>
  <c r="AA103" i="12" l="1"/>
  <c r="AD103" i="12"/>
  <c r="AA104" i="12" l="1"/>
  <c r="AD104" i="12"/>
  <c r="AA105" i="12" l="1"/>
  <c r="AD105" i="12"/>
  <c r="AA106" i="12" l="1"/>
  <c r="AD106" i="12"/>
  <c r="AA107" i="12" l="1"/>
  <c r="AD107" i="12"/>
  <c r="AA108" i="12" l="1"/>
  <c r="AD108" i="12"/>
  <c r="AA109" i="12" l="1"/>
  <c r="AD109" i="12"/>
  <c r="AA110" i="12" l="1"/>
  <c r="AD110" i="12"/>
  <c r="AA111" i="12" l="1"/>
  <c r="AD111" i="12"/>
  <c r="AA112" i="12" l="1"/>
  <c r="AD112" i="12"/>
  <c r="AA113" i="12" l="1"/>
  <c r="AD113" i="12"/>
  <c r="AA114" i="12" l="1"/>
  <c r="AD114" i="12"/>
  <c r="AA115" i="12" l="1"/>
  <c r="AD115" i="12"/>
  <c r="AA116" i="12" l="1"/>
  <c r="AD116" i="12"/>
  <c r="AA117" i="12" l="1"/>
  <c r="AD117" i="12"/>
  <c r="AA118" i="12" l="1"/>
  <c r="AD118" i="12"/>
  <c r="AA119" i="12" l="1"/>
  <c r="AD119" i="12"/>
  <c r="AA120" i="12" l="1"/>
  <c r="AD120" i="12"/>
  <c r="AA121" i="12" l="1"/>
  <c r="AD121" i="12"/>
  <c r="AA122" i="12" l="1"/>
  <c r="AD122" i="12"/>
  <c r="AA123" i="12" l="1"/>
  <c r="AD123" i="12"/>
  <c r="AA124" i="12" l="1"/>
  <c r="AD124" i="12"/>
  <c r="AA125" i="12" l="1"/>
  <c r="AD125" i="12"/>
  <c r="AA126" i="12" l="1"/>
  <c r="AD126" i="12"/>
  <c r="AA127" i="12" l="1"/>
  <c r="AD127" i="12"/>
  <c r="AA128" i="12" l="1"/>
  <c r="AD128" i="12"/>
  <c r="AA129" i="12" l="1"/>
  <c r="AD129" i="12"/>
  <c r="AA130" i="12" l="1"/>
  <c r="AD130" i="12"/>
  <c r="AA131" i="12" l="1"/>
  <c r="AD131" i="12"/>
  <c r="AA132" i="12" l="1"/>
  <c r="AD132" i="12"/>
  <c r="AA133" i="12" l="1"/>
  <c r="AD133" i="12"/>
  <c r="AA134" i="12" l="1"/>
  <c r="AD134" i="12"/>
  <c r="AA135" i="12" l="1"/>
  <c r="AD135" i="12"/>
  <c r="AA136" i="12" l="1"/>
  <c r="AD136" i="12"/>
  <c r="AA137" i="12" l="1"/>
  <c r="AD137" i="12"/>
  <c r="AA138" i="12" l="1"/>
  <c r="AD138" i="12"/>
  <c r="AA139" i="12" l="1"/>
  <c r="AD139" i="12"/>
  <c r="AA140" i="12" l="1"/>
  <c r="AD140" i="12"/>
  <c r="AA141" i="12" l="1"/>
  <c r="AD141" i="12"/>
  <c r="AA142" i="12" l="1"/>
  <c r="AD142" i="12"/>
  <c r="AA143" i="12" l="1"/>
  <c r="AD143" i="12"/>
  <c r="AA144" i="12" l="1"/>
  <c r="AD144" i="12"/>
  <c r="AA145" i="12" l="1"/>
  <c r="AD145" i="12"/>
  <c r="AA146" i="12" l="1"/>
  <c r="AD146" i="12"/>
  <c r="AA147" i="12" l="1"/>
  <c r="AD147" i="12"/>
  <c r="AA148" i="12" l="1"/>
  <c r="AD148" i="12"/>
  <c r="AA149" i="12" l="1"/>
  <c r="AD149" i="12"/>
  <c r="AA150" i="12" l="1"/>
  <c r="AD150" i="12"/>
  <c r="AA151" i="12" l="1"/>
  <c r="AD151" i="12"/>
  <c r="AA152" i="12" l="1"/>
  <c r="AD152" i="12"/>
  <c r="AA153" i="12" l="1"/>
  <c r="AD153" i="12"/>
  <c r="AA154" i="12" l="1"/>
  <c r="AD154" i="12"/>
  <c r="AA155" i="12" l="1"/>
  <c r="AD155" i="12"/>
  <c r="AA156" i="12" l="1"/>
  <c r="AD156" i="12"/>
  <c r="AA157" i="12" l="1"/>
  <c r="AD157" i="12"/>
  <c r="AA158" i="12" l="1"/>
  <c r="AD158" i="12"/>
  <c r="AA159" i="12" l="1"/>
  <c r="AD159" i="12"/>
  <c r="AA160" i="12" l="1"/>
  <c r="AD160" i="12"/>
  <c r="AA161" i="12" l="1"/>
  <c r="AD161" i="12"/>
  <c r="AA162" i="12" l="1"/>
  <c r="AD162" i="12"/>
  <c r="AA163" i="12" l="1"/>
  <c r="AD163" i="12"/>
  <c r="AA164" i="12" l="1"/>
  <c r="AD164" i="12"/>
  <c r="AA165" i="12" l="1"/>
  <c r="AD165" i="12"/>
  <c r="AA166" i="12" l="1"/>
  <c r="AD166" i="12"/>
  <c r="AA167" i="12" l="1"/>
  <c r="AD167" i="12"/>
  <c r="AA168" i="12" l="1"/>
  <c r="AD168" i="12"/>
  <c r="AA169" i="12" l="1"/>
  <c r="AD169" i="12"/>
  <c r="AA170" i="12" l="1"/>
  <c r="AD170" i="12"/>
  <c r="AA171" i="12" l="1"/>
  <c r="AD171" i="12"/>
  <c r="AA172" i="12" l="1"/>
  <c r="AD172" i="12"/>
  <c r="AA173" i="12" l="1"/>
  <c r="AD173" i="12"/>
  <c r="AA174" i="12" l="1"/>
  <c r="AD174" i="12"/>
  <c r="AA175" i="12" l="1"/>
  <c r="AD175" i="12"/>
  <c r="AA176" i="12" l="1"/>
  <c r="AD176" i="12"/>
  <c r="AA177" i="12" l="1"/>
  <c r="AD177" i="12"/>
  <c r="AA178" i="12" l="1"/>
  <c r="AD178" i="12"/>
  <c r="AA179" i="12" l="1"/>
  <c r="AD179" i="12"/>
  <c r="AA180" i="12" l="1"/>
  <c r="AD180" i="12"/>
  <c r="AA181" i="12" l="1"/>
  <c r="AD181" i="12"/>
  <c r="AA182" i="12" l="1"/>
  <c r="AD182" i="12"/>
  <c r="AA183" i="12" l="1"/>
  <c r="AD183" i="12"/>
  <c r="AA184" i="12" l="1"/>
  <c r="AD184" i="12"/>
  <c r="AA185" i="12" l="1"/>
  <c r="AD185" i="12"/>
  <c r="AA186" i="12" l="1"/>
  <c r="AD186" i="12"/>
  <c r="AA187" i="12" l="1"/>
  <c r="AD187" i="12"/>
  <c r="AA188" i="12" l="1"/>
  <c r="AD188" i="12"/>
  <c r="AA189" i="12" l="1"/>
  <c r="AD189" i="12"/>
  <c r="AA190" i="12" l="1"/>
  <c r="AD190" i="12"/>
  <c r="AA191" i="12" l="1"/>
  <c r="AD191" i="12"/>
  <c r="AA192" i="12" l="1"/>
  <c r="AD192" i="12"/>
  <c r="AA193" i="12" l="1"/>
  <c r="AD193" i="12"/>
  <c r="AA194" i="12" l="1"/>
  <c r="AD194" i="12"/>
  <c r="AA195" i="12" l="1"/>
  <c r="AD195" i="12"/>
  <c r="AA196" i="12" l="1"/>
  <c r="AD196" i="12"/>
  <c r="AA197" i="12" l="1"/>
  <c r="AD197" i="12"/>
  <c r="AA198" i="12" l="1"/>
  <c r="AD198" i="12"/>
  <c r="AA199" i="12" l="1"/>
  <c r="AD199" i="12"/>
  <c r="AA200" i="12" l="1"/>
  <c r="AD200" i="12"/>
  <c r="AA201" i="12" l="1"/>
  <c r="AD201" i="12"/>
  <c r="AA202" i="12" l="1"/>
  <c r="AD202" i="12"/>
  <c r="AA203" i="12" l="1"/>
  <c r="AD203" i="12"/>
  <c r="AA204" i="12" l="1"/>
  <c r="AD204" i="12"/>
  <c r="AA205" i="12" l="1"/>
  <c r="AD205" i="12"/>
  <c r="AA206" i="12" l="1"/>
  <c r="AD206" i="12"/>
  <c r="AA207" i="12" l="1"/>
  <c r="AD207" i="12"/>
  <c r="AA208" i="12" l="1"/>
  <c r="AD208" i="12"/>
  <c r="AA209" i="12" l="1"/>
  <c r="AD209" i="12"/>
  <c r="AA210" i="12" l="1"/>
  <c r="AD210" i="12"/>
  <c r="AA211" i="12" l="1"/>
  <c r="AD211" i="12"/>
  <c r="AA212" i="12" l="1"/>
  <c r="AD212" i="12"/>
  <c r="AA213" i="12" l="1"/>
  <c r="AD213" i="12"/>
  <c r="AA214" i="12" l="1"/>
  <c r="AD214" i="12"/>
  <c r="AA215" i="12" l="1"/>
  <c r="AD215" i="12"/>
  <c r="AA216" i="12" l="1"/>
  <c r="AD216" i="12"/>
  <c r="AA217" i="12" l="1"/>
  <c r="AD217" i="12"/>
  <c r="AA218" i="12" l="1"/>
  <c r="AD218" i="12"/>
  <c r="AA219" i="12" l="1"/>
  <c r="AD219" i="12"/>
  <c r="AA220" i="12" l="1"/>
  <c r="AD220" i="12"/>
  <c r="AA221" i="12" l="1"/>
  <c r="AD221" i="12"/>
  <c r="AA222" i="12" l="1"/>
  <c r="AD222" i="12"/>
  <c r="AA223" i="12" l="1"/>
  <c r="AD223" i="12"/>
  <c r="AA224" i="12" l="1"/>
  <c r="AD224" i="12"/>
  <c r="AA225" i="12" l="1"/>
  <c r="AD225" i="12"/>
  <c r="AA226" i="12" l="1"/>
  <c r="AD226" i="12"/>
  <c r="AA227" i="12" l="1"/>
  <c r="AD227" i="12"/>
  <c r="AA228" i="12" l="1"/>
  <c r="AD228" i="12"/>
  <c r="AA229" i="12" l="1"/>
  <c r="AD229" i="12"/>
  <c r="AA230" i="12" l="1"/>
  <c r="AD230" i="12"/>
  <c r="AA231" i="12" l="1"/>
  <c r="AD231" i="12"/>
  <c r="AA232" i="12" l="1"/>
  <c r="AD232" i="12"/>
  <c r="AA233" i="12" l="1"/>
  <c r="AD233" i="12"/>
  <c r="AA234" i="12" l="1"/>
  <c r="AD234" i="12"/>
  <c r="AA235" i="12" l="1"/>
  <c r="AD235" i="12"/>
  <c r="AA236" i="12" l="1"/>
  <c r="AD236" i="12"/>
  <c r="AA237" i="12" l="1"/>
  <c r="AD237" i="12"/>
  <c r="AA238" i="12" l="1"/>
  <c r="AD238" i="12"/>
  <c r="AA239" i="12" l="1"/>
  <c r="AD239" i="12"/>
  <c r="AA240" i="12" l="1"/>
  <c r="AD240" i="12"/>
  <c r="AA241" i="12" l="1"/>
  <c r="AD241" i="12"/>
  <c r="AA242" i="12" l="1"/>
  <c r="AD242" i="12"/>
  <c r="AA243" i="12" l="1"/>
  <c r="AD243" i="12"/>
  <c r="AA244" i="12" l="1"/>
  <c r="AD244" i="12"/>
  <c r="AA245" i="12" l="1"/>
  <c r="AD245" i="12"/>
  <c r="AA246" i="12" l="1"/>
  <c r="AD246" i="12"/>
  <c r="AA247" i="12" l="1"/>
  <c r="AD247" i="12"/>
  <c r="AA248" i="12" l="1"/>
  <c r="AD248" i="12"/>
  <c r="AA249" i="12" l="1"/>
  <c r="AD249" i="12"/>
  <c r="AA250" i="12" l="1"/>
  <c r="AD250" i="12"/>
  <c r="AA251" i="12" l="1"/>
  <c r="AD251" i="12"/>
  <c r="AA252" i="12" l="1"/>
  <c r="AD252" i="12"/>
  <c r="AA253" i="12" l="1"/>
  <c r="AD253" i="12"/>
  <c r="AA254" i="12" l="1"/>
  <c r="AD254" i="12"/>
  <c r="AA255" i="12" l="1"/>
  <c r="AD255" i="12"/>
  <c r="AA256" i="12" l="1"/>
  <c r="AD256" i="12"/>
  <c r="AA257" i="12" l="1"/>
  <c r="AD257" i="12"/>
  <c r="AA258" i="12" l="1"/>
  <c r="AD258" i="12"/>
  <c r="AA259" i="12" l="1"/>
  <c r="AD259" i="12"/>
  <c r="AA260" i="12" l="1"/>
  <c r="AD260" i="12"/>
  <c r="AA261" i="12" l="1"/>
  <c r="AD261" i="12"/>
  <c r="AA262" i="12" l="1"/>
  <c r="AD262" i="12"/>
  <c r="AA263" i="12" l="1"/>
  <c r="AD263" i="12"/>
  <c r="AA264" i="12" l="1"/>
  <c r="AD264" i="12"/>
  <c r="AA265" i="12" l="1"/>
  <c r="AD265" i="12"/>
  <c r="AA266" i="12" l="1"/>
  <c r="AD266" i="12"/>
  <c r="AA267" i="12" l="1"/>
  <c r="AD267" i="12"/>
  <c r="AA268" i="12" l="1"/>
  <c r="AD268" i="12"/>
  <c r="AA269" i="12" l="1"/>
  <c r="AD269" i="12"/>
  <c r="AA270" i="12" l="1"/>
  <c r="AD270" i="12"/>
  <c r="AA271" i="12" l="1"/>
  <c r="AD271" i="12"/>
  <c r="AA272" i="12" l="1"/>
  <c r="AD272" i="12"/>
  <c r="AA273" i="12" l="1"/>
  <c r="AD273" i="12"/>
  <c r="AA274" i="12" l="1"/>
  <c r="AD274" i="12"/>
  <c r="AA275" i="12" l="1"/>
  <c r="AD275" i="12"/>
  <c r="AA276" i="12" l="1"/>
  <c r="AD276" i="12"/>
  <c r="AA277" i="12" l="1"/>
  <c r="AD277" i="12"/>
  <c r="AA278" i="12" l="1"/>
  <c r="AD278" i="12"/>
  <c r="AA279" i="12" l="1"/>
  <c r="AD279" i="12"/>
  <c r="AA280" i="12" l="1"/>
  <c r="AD280" i="12"/>
  <c r="AA281" i="12" l="1"/>
  <c r="AD281" i="12"/>
  <c r="AA282" i="12" l="1"/>
  <c r="AD282" i="12"/>
  <c r="AA283" i="12" l="1"/>
  <c r="AD283" i="12"/>
  <c r="AA284" i="12" l="1"/>
  <c r="AD284" i="12"/>
  <c r="AA285" i="12" l="1"/>
  <c r="AD285" i="12"/>
  <c r="AA286" i="12" l="1"/>
  <c r="AD286" i="12"/>
  <c r="AA287" i="12" l="1"/>
  <c r="AD287" i="12"/>
  <c r="AA288" i="12" l="1"/>
  <c r="AD288" i="12"/>
  <c r="AA289" i="12" l="1"/>
  <c r="AD289" i="12"/>
  <c r="AA290" i="12" l="1"/>
  <c r="AD290" i="12"/>
  <c r="AA291" i="12" l="1"/>
  <c r="AD291" i="12"/>
  <c r="AA292" i="12" l="1"/>
  <c r="AD292" i="12"/>
  <c r="AA293" i="12" l="1"/>
  <c r="AD293" i="12"/>
  <c r="AA294" i="12" l="1"/>
  <c r="AD294" i="12"/>
  <c r="AA295" i="12" l="1"/>
  <c r="AD295" i="12"/>
  <c r="AA296" i="12" l="1"/>
  <c r="AD296" i="12"/>
  <c r="AA297" i="12" l="1"/>
  <c r="AD297" i="12"/>
  <c r="AA298" i="12" l="1"/>
  <c r="AD298" i="12"/>
  <c r="AA299" i="12" l="1"/>
  <c r="AD299" i="12"/>
  <c r="AA300" i="12" l="1"/>
  <c r="AD300" i="12"/>
  <c r="AA301" i="12" l="1"/>
  <c r="AD301" i="12"/>
  <c r="AA302" i="12" l="1"/>
  <c r="AD302" i="12"/>
  <c r="AA303" i="12" l="1"/>
  <c r="AD303" i="12"/>
  <c r="AA304" i="12" l="1"/>
  <c r="AD304" i="12"/>
  <c r="AA305" i="12" l="1"/>
  <c r="AD305" i="12"/>
  <c r="AA306" i="12" l="1"/>
  <c r="AD306" i="12"/>
  <c r="AA307" i="12" l="1"/>
  <c r="AD307" i="12"/>
  <c r="AA308" i="12" l="1"/>
  <c r="AD308" i="12"/>
  <c r="AA309" i="12" l="1"/>
  <c r="AD309" i="12"/>
  <c r="AA310" i="12" l="1"/>
  <c r="AD310" i="12"/>
  <c r="AA311" i="12" l="1"/>
  <c r="AD311" i="12"/>
  <c r="AA312" i="12" l="1"/>
  <c r="AD312" i="12"/>
  <c r="AA313" i="12" l="1"/>
  <c r="AD313" i="12"/>
  <c r="AA314" i="12" l="1"/>
  <c r="AD314" i="12"/>
  <c r="AA315" i="12" l="1"/>
  <c r="AD315" i="12"/>
  <c r="AA316" i="12" l="1"/>
  <c r="AD316" i="12"/>
  <c r="AA317" i="12" l="1"/>
  <c r="AD317" i="12"/>
  <c r="AA318" i="12" l="1"/>
  <c r="AD318" i="12"/>
  <c r="AA319" i="12" l="1"/>
  <c r="AD319" i="12"/>
  <c r="AA320" i="12" l="1"/>
  <c r="AD320" i="12"/>
  <c r="AA321" i="12" l="1"/>
  <c r="AD321" i="12"/>
  <c r="AA322" i="12" l="1"/>
  <c r="AD322" i="12"/>
  <c r="AA323" i="12" l="1"/>
  <c r="AD323" i="12"/>
  <c r="AA324" i="12" l="1"/>
  <c r="AD324" i="12"/>
  <c r="AA325" i="12" l="1"/>
  <c r="AD325" i="12"/>
  <c r="AA326" i="12" l="1"/>
  <c r="AD326" i="12"/>
  <c r="AA327" i="12" l="1"/>
  <c r="AD327" i="12"/>
  <c r="AA328" i="12" l="1"/>
  <c r="AD328" i="12"/>
  <c r="AA329" i="12" l="1"/>
  <c r="AD329" i="12"/>
  <c r="AA330" i="12" l="1"/>
  <c r="AD330" i="12"/>
  <c r="AA331" i="12" l="1"/>
  <c r="AD331" i="12"/>
  <c r="AA332" i="12" l="1"/>
  <c r="AD332" i="12"/>
  <c r="AA333" i="12" l="1"/>
  <c r="AD333" i="12"/>
  <c r="AA334" i="12" l="1"/>
  <c r="AD334" i="12"/>
  <c r="AA335" i="12" l="1"/>
  <c r="AD335" i="12"/>
  <c r="AA336" i="12" l="1"/>
  <c r="AD336" i="12"/>
  <c r="AA337" i="12" l="1"/>
  <c r="AD337" i="12"/>
  <c r="AA338" i="12" l="1"/>
  <c r="AD338" i="12"/>
  <c r="AA339" i="12" l="1"/>
  <c r="AD339" i="12"/>
  <c r="AA340" i="12" l="1"/>
  <c r="AD340" i="12"/>
  <c r="AA341" i="12" l="1"/>
  <c r="AD341" i="12"/>
  <c r="AA342" i="12" l="1"/>
  <c r="AD342" i="12"/>
  <c r="AA343" i="12" l="1"/>
  <c r="AD343" i="12"/>
  <c r="AA344" i="12" l="1"/>
  <c r="AD344" i="12"/>
  <c r="AA345" i="12" l="1"/>
  <c r="AD345" i="12"/>
  <c r="AA346" i="12" l="1"/>
  <c r="AD346" i="12"/>
  <c r="AA347" i="12" l="1"/>
  <c r="AD347" i="12"/>
  <c r="AA348" i="12" l="1"/>
  <c r="AD348" i="12"/>
  <c r="AA349" i="12" l="1"/>
  <c r="AD349" i="12"/>
  <c r="AA350" i="12" l="1"/>
  <c r="AD350" i="12"/>
  <c r="AA351" i="12" l="1"/>
  <c r="AD351" i="12"/>
  <c r="AA352" i="12" l="1"/>
  <c r="AD352" i="12"/>
  <c r="AA353" i="12" l="1"/>
  <c r="AD353" i="12"/>
  <c r="AA354" i="12" l="1"/>
  <c r="AD354" i="12"/>
  <c r="AA355" i="12" l="1"/>
  <c r="AD355" i="12"/>
  <c r="AA356" i="12" l="1"/>
  <c r="AD356" i="12"/>
  <c r="AA357" i="12" l="1"/>
  <c r="AD357" i="12"/>
  <c r="AA358" i="12" l="1"/>
  <c r="AD358" i="12"/>
  <c r="AA359" i="12" l="1"/>
  <c r="AD359" i="12"/>
  <c r="AA360" i="12" l="1"/>
  <c r="AD360" i="12"/>
  <c r="AA361" i="12" l="1"/>
  <c r="AD361" i="12"/>
  <c r="AA362" i="12" l="1"/>
  <c r="AD362" i="12"/>
  <c r="AA363" i="12" l="1"/>
  <c r="AD363" i="12"/>
  <c r="AA364" i="12" l="1"/>
  <c r="AD364" i="12"/>
  <c r="AA365" i="12" l="1"/>
  <c r="AD365" i="12"/>
  <c r="AA366" i="12" l="1"/>
  <c r="AD366" i="12"/>
  <c r="AA367" i="12" l="1"/>
  <c r="AD367" i="12"/>
  <c r="AA368" i="12" l="1"/>
  <c r="AD368" i="12"/>
  <c r="AA369" i="12" l="1"/>
  <c r="AD369" i="12"/>
  <c r="AA370" i="12" l="1"/>
  <c r="AD370" i="12"/>
  <c r="AA371" i="12" l="1"/>
  <c r="AD371" i="12"/>
  <c r="AA372" i="12" l="1"/>
  <c r="AD372" i="12"/>
  <c r="AA373" i="12" l="1"/>
  <c r="AD373" i="12"/>
  <c r="AA374" i="12" l="1"/>
  <c r="AD374" i="12"/>
  <c r="AA375" i="12" l="1"/>
  <c r="AD375" i="12"/>
  <c r="AA376" i="12" l="1"/>
  <c r="AD376" i="12"/>
  <c r="AA377" i="12" l="1"/>
  <c r="AD377" i="12"/>
  <c r="AA378" i="12" l="1"/>
  <c r="AD378" i="12"/>
  <c r="AA379" i="12" l="1"/>
  <c r="AD379" i="12"/>
  <c r="AA380" i="12" l="1"/>
  <c r="AD380" i="12"/>
  <c r="AA381" i="12" l="1"/>
  <c r="AD381" i="12"/>
  <c r="AA382" i="12" l="1"/>
  <c r="AD382" i="12"/>
  <c r="AA383" i="12" l="1"/>
  <c r="AD383" i="12"/>
  <c r="AA384" i="12" l="1"/>
  <c r="AD384" i="12"/>
  <c r="AA385" i="12" l="1"/>
  <c r="AD385" i="12"/>
  <c r="AA386" i="12" l="1"/>
  <c r="AD386" i="12"/>
  <c r="AA387" i="12" l="1"/>
  <c r="AD387" i="12"/>
  <c r="AA388" i="12" l="1"/>
  <c r="AD388" i="12"/>
  <c r="AA389" i="12" l="1"/>
  <c r="AD389" i="12"/>
  <c r="AA390" i="12" l="1"/>
  <c r="AD390" i="12"/>
  <c r="AA391" i="12" l="1"/>
  <c r="AD391" i="12"/>
  <c r="AA392" i="12" l="1"/>
  <c r="AD392" i="12"/>
  <c r="AA393" i="12" l="1"/>
  <c r="AD393" i="12"/>
  <c r="AA394" i="12" l="1"/>
  <c r="AD394" i="12"/>
  <c r="AA395" i="12" l="1"/>
  <c r="AD395" i="12"/>
  <c r="AA396" i="12" l="1"/>
  <c r="AD396" i="12"/>
  <c r="AA397" i="12" l="1"/>
  <c r="AD397" i="12"/>
  <c r="AA398" i="12" l="1"/>
  <c r="AD398" i="12"/>
  <c r="AA399" i="12" l="1"/>
  <c r="AD399" i="12"/>
  <c r="AA400" i="12" l="1"/>
  <c r="AD400" i="12"/>
  <c r="AA401" i="12" l="1"/>
  <c r="AD401" i="12"/>
  <c r="AA402" i="12" l="1"/>
  <c r="AD402" i="12"/>
  <c r="AA403" i="12" l="1"/>
  <c r="AD403" i="12"/>
  <c r="AA404" i="12" l="1"/>
  <c r="AD404" i="12"/>
  <c r="AA405" i="12" l="1"/>
  <c r="AD405" i="12"/>
  <c r="AA406" i="12" l="1"/>
  <c r="AD406" i="12"/>
  <c r="AA407" i="12" l="1"/>
  <c r="AD407" i="12"/>
  <c r="AA408" i="12" l="1"/>
  <c r="AD408" i="12"/>
  <c r="AA409" i="12" l="1"/>
  <c r="AD409" i="12"/>
  <c r="AA410" i="12" l="1"/>
  <c r="AD410" i="12"/>
  <c r="AA411" i="12" l="1"/>
  <c r="AD411" i="12"/>
  <c r="AA412" i="12" l="1"/>
  <c r="AD412" i="12"/>
  <c r="AA413" i="12" l="1"/>
  <c r="AD413" i="12"/>
  <c r="AA414" i="12" l="1"/>
  <c r="AD414" i="12"/>
  <c r="AA415" i="12" l="1"/>
  <c r="AD415" i="12"/>
  <c r="AA416" i="12" l="1"/>
  <c r="AD416" i="12"/>
  <c r="AA417" i="12" l="1"/>
  <c r="AD417" i="12"/>
  <c r="AA418" i="12" l="1"/>
  <c r="AD418" i="12"/>
  <c r="AA419" i="12" l="1"/>
  <c r="AD419" i="12"/>
  <c r="AA420" i="12" l="1"/>
  <c r="AD420" i="12"/>
  <c r="AA421" i="12" l="1"/>
  <c r="AD421" i="12"/>
  <c r="AA422" i="12" l="1"/>
  <c r="AD422" i="12"/>
  <c r="AA423" i="12" l="1"/>
  <c r="AD423" i="12"/>
  <c r="AA424" i="12" l="1"/>
  <c r="AD424" i="12"/>
  <c r="AA425" i="12" l="1"/>
  <c r="AD425" i="12"/>
  <c r="AA426" i="12" l="1"/>
  <c r="AD426" i="12"/>
  <c r="AA427" i="12" l="1"/>
  <c r="AD427" i="12"/>
  <c r="AA428" i="12" l="1"/>
  <c r="AD428" i="12"/>
  <c r="AA429" i="12" l="1"/>
  <c r="AD429" i="12"/>
  <c r="AA430" i="12" l="1"/>
  <c r="AD430" i="12"/>
  <c r="AA431" i="12" l="1"/>
  <c r="AD431" i="12"/>
  <c r="AA432" i="12" l="1"/>
  <c r="AD432" i="12"/>
  <c r="AA433" i="12" l="1"/>
  <c r="AD433" i="12"/>
  <c r="AA434" i="12" l="1"/>
  <c r="AD434" i="12"/>
  <c r="AA435" i="12" l="1"/>
  <c r="AD435" i="12"/>
  <c r="AA436" i="12" l="1"/>
  <c r="AD436" i="12"/>
  <c r="AA437" i="12" l="1"/>
  <c r="AD437" i="12"/>
  <c r="AA438" i="12" l="1"/>
  <c r="AD438" i="12"/>
  <c r="AA439" i="12" l="1"/>
  <c r="AD439" i="12"/>
  <c r="AA440" i="12" l="1"/>
  <c r="AD440" i="12"/>
  <c r="AA441" i="12" l="1"/>
  <c r="AD441" i="12"/>
  <c r="AA442" i="12" l="1"/>
  <c r="AD442" i="12"/>
  <c r="AA443" i="12" l="1"/>
  <c r="AD443" i="12"/>
  <c r="AA444" i="12" l="1"/>
  <c r="AD444" i="12"/>
  <c r="AA445" i="12" l="1"/>
  <c r="AD445" i="12"/>
  <c r="AA446" i="12" l="1"/>
  <c r="AD446" i="12"/>
  <c r="AA447" i="12" l="1"/>
  <c r="AD447" i="12"/>
  <c r="AA448" i="12" l="1"/>
  <c r="AD448" i="12"/>
  <c r="AA449" i="12" l="1"/>
  <c r="AD449" i="12"/>
  <c r="AA450" i="12" l="1"/>
  <c r="AD450" i="12"/>
  <c r="AA451" i="12" l="1"/>
  <c r="AD451" i="12"/>
  <c r="AA452" i="12" l="1"/>
  <c r="AD452" i="12"/>
  <c r="AA453" i="12" l="1"/>
  <c r="AD453" i="12"/>
  <c r="AA454" i="12" l="1"/>
  <c r="AD454" i="12"/>
  <c r="AA455" i="12" l="1"/>
  <c r="AD455" i="12"/>
  <c r="AA456" i="12" l="1"/>
  <c r="AD456" i="12"/>
  <c r="AA457" i="12" l="1"/>
  <c r="AD457" i="12"/>
  <c r="AA458" i="12" l="1"/>
  <c r="AD458" i="12"/>
  <c r="AA459" i="12" l="1"/>
  <c r="AD459" i="12"/>
  <c r="AA460" i="12" l="1"/>
  <c r="AD460" i="12"/>
  <c r="AA461" i="12" l="1"/>
  <c r="AD461" i="12"/>
  <c r="AA462" i="12" l="1"/>
  <c r="AD462" i="12"/>
  <c r="AA463" i="12" l="1"/>
  <c r="AD463" i="12"/>
  <c r="AA464" i="12" l="1"/>
  <c r="AD464" i="12"/>
  <c r="AA465" i="12" l="1"/>
  <c r="AD465" i="12"/>
  <c r="AA466" i="12" l="1"/>
  <c r="AD466" i="12"/>
  <c r="AA467" i="12" l="1"/>
  <c r="AD467" i="12"/>
  <c r="AA468" i="12" l="1"/>
  <c r="AD468" i="12"/>
  <c r="AA469" i="12" l="1"/>
  <c r="AD469" i="12"/>
  <c r="AA470" i="12" l="1"/>
  <c r="AD470" i="12"/>
  <c r="AA471" i="12" l="1"/>
  <c r="AD471" i="12"/>
  <c r="AA472" i="12" l="1"/>
  <c r="AD472" i="12"/>
  <c r="AA473" i="12" l="1"/>
  <c r="AD473" i="12"/>
  <c r="AA474" i="12" l="1"/>
  <c r="AD474" i="12"/>
  <c r="AA475" i="12" l="1"/>
  <c r="AD475" i="12"/>
  <c r="AA476" i="12" l="1"/>
  <c r="AD476" i="12"/>
  <c r="AA477" i="12" l="1"/>
  <c r="AD477" i="12"/>
  <c r="AA478" i="12" l="1"/>
  <c r="AD478" i="12"/>
  <c r="AA479" i="12" l="1"/>
  <c r="AD479" i="12"/>
  <c r="AA480" i="12" l="1"/>
  <c r="AD480" i="12"/>
  <c r="AA481" i="12" l="1"/>
  <c r="AD481" i="12"/>
  <c r="AA482" i="12" l="1"/>
  <c r="AD482" i="12"/>
  <c r="AA483" i="12" l="1"/>
  <c r="AD483" i="12"/>
  <c r="AA484" i="12" l="1"/>
  <c r="AD484" i="12"/>
  <c r="AA485" i="12" l="1"/>
  <c r="AD485" i="12"/>
  <c r="AA486" i="12" l="1"/>
  <c r="AD486" i="12"/>
  <c r="AA487" i="12" l="1"/>
  <c r="AD487" i="12"/>
  <c r="AA488" i="12" l="1"/>
  <c r="AD488" i="12"/>
  <c r="AA489" i="12" l="1"/>
  <c r="AD489" i="12"/>
  <c r="AA490" i="12" l="1"/>
  <c r="AD490" i="12"/>
  <c r="AA491" i="12" l="1"/>
  <c r="AD491" i="12"/>
  <c r="AA492" i="12" l="1"/>
  <c r="AD492" i="12"/>
  <c r="AA493" i="12" l="1"/>
  <c r="AD493" i="12"/>
  <c r="AA494" i="12" l="1"/>
  <c r="AD494" i="12"/>
  <c r="AA495" i="12" l="1"/>
  <c r="AD495" i="12"/>
  <c r="AA496" i="12" l="1"/>
  <c r="AD496" i="12"/>
  <c r="AA497" i="12" l="1"/>
  <c r="AD497" i="12"/>
  <c r="AA498" i="12" l="1"/>
  <c r="AD498" i="12"/>
  <c r="AA499" i="12" l="1"/>
  <c r="AD499" i="12"/>
  <c r="AA500" i="12" l="1"/>
  <c r="AD500" i="12"/>
  <c r="AA501" i="12" l="1"/>
  <c r="AD501" i="12"/>
  <c r="AA502" i="12" l="1"/>
  <c r="AD502" i="12"/>
  <c r="AA503" i="12" l="1"/>
  <c r="AD503" i="12"/>
  <c r="AA504" i="12" l="1"/>
  <c r="AD504" i="12"/>
  <c r="AA505" i="12" l="1"/>
  <c r="AD505" i="12"/>
  <c r="AA506" i="12" l="1"/>
  <c r="AD506" i="12"/>
  <c r="AA507" i="12" l="1"/>
  <c r="AD507" i="12"/>
  <c r="AA508" i="12" l="1"/>
  <c r="AD508" i="12"/>
  <c r="AA509" i="12" l="1"/>
  <c r="AD509" i="12"/>
  <c r="AA510" i="12" l="1"/>
  <c r="AD510" i="12"/>
  <c r="AA511" i="12" l="1"/>
  <c r="AD511" i="12"/>
  <c r="AA512" i="12" l="1"/>
  <c r="AD512" i="12"/>
  <c r="AA513" i="12" l="1"/>
  <c r="AD513" i="12"/>
  <c r="AA514" i="12" l="1"/>
  <c r="AD514" i="12"/>
  <c r="AA515" i="12" l="1"/>
  <c r="AD515" i="12"/>
  <c r="AA516" i="12" l="1"/>
  <c r="AD516" i="12"/>
  <c r="AA517" i="12" l="1"/>
  <c r="AD517" i="12"/>
  <c r="AA518" i="12" l="1"/>
  <c r="AD518" i="12"/>
  <c r="AA519" i="12" l="1"/>
  <c r="AD519" i="12"/>
  <c r="AA520" i="12" l="1"/>
  <c r="AD520" i="12"/>
  <c r="AA521" i="12" l="1"/>
  <c r="AD521" i="12"/>
  <c r="AA522" i="12" l="1"/>
  <c r="AD522" i="12"/>
  <c r="AA523" i="12" l="1"/>
  <c r="AD523" i="12"/>
  <c r="AA524" i="12" l="1"/>
  <c r="AD524" i="12"/>
  <c r="AA525" i="12" l="1"/>
  <c r="AD525" i="12"/>
  <c r="AA526" i="12" l="1"/>
  <c r="AD526" i="12"/>
  <c r="AA527" i="12" l="1"/>
  <c r="AD527" i="12"/>
  <c r="AA528" i="12" l="1"/>
  <c r="AD528" i="12"/>
  <c r="AA529" i="12" l="1"/>
  <c r="AD529" i="12"/>
  <c r="AA530" i="12" l="1"/>
  <c r="AD530" i="12"/>
  <c r="AA531" i="12" l="1"/>
  <c r="AD531" i="12"/>
  <c r="AA532" i="12" l="1"/>
  <c r="AD532" i="12"/>
  <c r="AA533" i="12" l="1"/>
  <c r="AD533" i="12"/>
  <c r="AA534" i="12" l="1"/>
  <c r="AD534" i="12"/>
  <c r="AA535" i="12" l="1"/>
  <c r="AD535" i="12"/>
  <c r="AA536" i="12" l="1"/>
  <c r="AD536" i="12"/>
  <c r="AA537" i="12" l="1"/>
  <c r="AD537" i="12"/>
  <c r="AA538" i="12" l="1"/>
  <c r="AD538" i="12"/>
  <c r="AA539" i="12" l="1"/>
  <c r="AD539" i="12"/>
  <c r="AA540" i="12" l="1"/>
  <c r="AD540" i="12"/>
  <c r="AA541" i="12" l="1"/>
  <c r="AD541" i="12"/>
  <c r="AA542" i="12" l="1"/>
  <c r="AD542" i="12"/>
  <c r="AA543" i="12" l="1"/>
  <c r="AD543" i="12"/>
  <c r="AA544" i="12" l="1"/>
  <c r="AD544" i="12"/>
  <c r="AA545" i="12" l="1"/>
  <c r="AD545" i="12"/>
  <c r="AA546" i="12" l="1"/>
  <c r="AD546" i="12"/>
  <c r="AA547" i="12" l="1"/>
  <c r="AD547" i="12"/>
  <c r="AA548" i="12" l="1"/>
  <c r="AD548" i="12"/>
  <c r="AA549" i="12" l="1"/>
  <c r="AD549" i="12"/>
  <c r="AA550" i="12" l="1"/>
  <c r="AD550" i="12"/>
  <c r="AA551" i="12" l="1"/>
  <c r="AD551" i="12"/>
  <c r="AA552" i="12" l="1"/>
  <c r="AD552" i="12"/>
  <c r="AA553" i="12" l="1"/>
  <c r="AD553" i="12"/>
  <c r="AA554" i="12" l="1"/>
  <c r="AD554" i="12"/>
  <c r="AA555" i="12" l="1"/>
  <c r="AD555" i="12"/>
  <c r="AA556" i="12" l="1"/>
  <c r="AD556" i="12"/>
  <c r="AA557" i="12" l="1"/>
  <c r="AD557" i="12"/>
  <c r="AA558" i="12" l="1"/>
  <c r="AD558" i="12"/>
  <c r="AA559" i="12" l="1"/>
  <c r="AD559" i="12"/>
  <c r="AA560" i="12" l="1"/>
  <c r="AD560" i="12"/>
  <c r="AA561" i="12" l="1"/>
  <c r="AD561" i="12"/>
  <c r="AA562" i="12" l="1"/>
  <c r="AD562" i="12"/>
  <c r="AA563" i="12" l="1"/>
  <c r="AD563" i="12"/>
  <c r="AA564" i="12" l="1"/>
  <c r="AD564" i="12"/>
  <c r="AA565" i="12" l="1"/>
  <c r="AD565" i="12"/>
  <c r="AA566" i="12" l="1"/>
  <c r="AD566" i="12"/>
  <c r="AA567" i="12" l="1"/>
  <c r="AD567" i="12"/>
  <c r="AA568" i="12" l="1"/>
  <c r="AD568" i="12"/>
  <c r="AA569" i="12" l="1"/>
  <c r="AC1" i="12" s="1"/>
  <c r="AD569" i="12"/>
  <c r="AT1" i="15" l="1"/>
  <c r="U2" i="20"/>
  <c r="B55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Miroslav Sojka</author>
  </authors>
  <commentList>
    <comment ref="K4" authorId="0" shapeId="0" xr:uid="{F86463DA-D2B4-4628-B7B3-077E6E7C7294}">
      <text>
        <r>
          <rPr>
            <sz val="9"/>
            <color indexed="81"/>
            <rFont val="Tahoma"/>
            <family val="2"/>
            <charset val="238"/>
          </rPr>
          <t xml:space="preserve">oddělení , katedra, centrum
</t>
        </r>
      </text>
    </comment>
    <comment ref="B8" authorId="0" shapeId="0" xr:uid="{7D8F939F-5277-4647-985C-63202A91E7C0}">
      <text>
        <r>
          <rPr>
            <sz val="9"/>
            <color indexed="81"/>
            <rFont val="Tahoma"/>
            <family val="2"/>
            <charset val="238"/>
          </rPr>
          <t>stát, místo, pořadatel</t>
        </r>
      </text>
    </comment>
    <comment ref="B10" authorId="0" shapeId="0" xr:uid="{E8E331A3-44E0-4639-8CD5-EE54DF378275}">
      <text>
        <r>
          <rPr>
            <sz val="9"/>
            <color indexed="81"/>
            <rFont val="Tahoma"/>
            <family val="2"/>
            <charset val="238"/>
          </rPr>
          <t>Konference, výuka atd.</t>
        </r>
      </text>
    </comment>
    <comment ref="B16" authorId="0" shapeId="0" xr:uid="{429DE8C7-FF39-4C78-A213-079660D16749}">
      <text>
        <r>
          <rPr>
            <sz val="9"/>
            <color indexed="81"/>
            <rFont val="Tahoma"/>
            <family val="2"/>
            <charset val="238"/>
          </rPr>
          <t>PF UK, grant, SVV, Progres, jiné… 
V případě grantu či SVV uveďte rovněž číslo a název úkolu</t>
        </r>
      </text>
    </comment>
    <comment ref="B24" authorId="0" shapeId="0" xr:uid="{471B97B1-82CC-4F17-B9C9-9BC052093262}">
      <text>
        <r>
          <rPr>
            <sz val="9"/>
            <color indexed="81"/>
            <rFont val="Tahoma"/>
            <family val="2"/>
            <charset val="238"/>
          </rPr>
          <t>V případě grantu či SVV uveďte rovněž číslo a název úkolu</t>
        </r>
      </text>
    </comment>
    <comment ref="B26" authorId="0" shapeId="0" xr:uid="{8BF4C970-E26F-4362-80BE-189916080390}">
      <text>
        <r>
          <rPr>
            <sz val="9"/>
            <color indexed="81"/>
            <rFont val="Tahoma"/>
            <family val="2"/>
            <charset val="238"/>
          </rPr>
          <t>V případě grantu či SVV uveďte rovněž číslo a název úkolu</t>
        </r>
      </text>
    </comment>
    <comment ref="B28" authorId="0" shapeId="0" xr:uid="{1BD4E0A7-3F6B-4D25-BAC9-3B2007F8795C}">
      <text>
        <r>
          <rPr>
            <sz val="9"/>
            <color indexed="81"/>
            <rFont val="Tahoma"/>
            <family val="2"/>
            <charset val="238"/>
          </rPr>
          <t>V případě grantu či SVV uveďte rovněž číslo a název úkolu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Miroslav Sojka</author>
  </authors>
  <commentList>
    <comment ref="B3" authorId="0" shapeId="0" xr:uid="{C671FD1D-4E8C-464B-B3CE-0FBDDC0B92D7}">
      <text>
        <r>
          <rPr>
            <sz val="9"/>
            <color indexed="81"/>
            <rFont val="Calibri"/>
            <family val="2"/>
            <charset val="238"/>
            <scheme val="minor"/>
          </rPr>
          <t>Zadejte ve tvaru dd.mm.rr
např. 25.3.20</t>
        </r>
      </text>
    </comment>
    <comment ref="F4" authorId="0" shapeId="0" xr:uid="{FBBCA49A-8CE6-4A78-B7C9-A7858FED683A}">
      <text>
        <r>
          <rPr>
            <sz val="9"/>
            <color indexed="81"/>
            <rFont val="Calibri"/>
            <family val="2"/>
            <charset val="238"/>
            <scheme val="minor"/>
          </rPr>
          <t>zadejte hh:mm
např. 12:35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7" authorId="0" shapeId="0" xr:uid="{B1F8F8F3-285E-4480-B4D3-D025136AA699}">
      <text>
        <r>
          <rPr>
            <sz val="9"/>
            <color indexed="81"/>
            <rFont val="Calibri"/>
            <family val="2"/>
            <charset val="238"/>
            <scheme val="minor"/>
          </rPr>
          <t>Uveďte spotřebu</t>
        </r>
      </text>
    </comment>
    <comment ref="Z12" authorId="0" shapeId="0" xr:uid="{65F05EE3-9B4A-42DC-9260-F61B343D7539}">
      <text>
        <r>
          <rPr>
            <sz val="9"/>
            <color indexed="81"/>
            <rFont val="Calibri"/>
            <family val="2"/>
            <charset val="238"/>
            <scheme val="minor"/>
          </rPr>
          <t>Vyplňte v případě doložení ceny paliva dokladem, jinak bude použita ceny paliva z vyhlášky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28" authorId="0" shapeId="0" xr:uid="{F08B291F-44C1-46FE-AA22-A6F07099A98B}">
      <text>
        <r>
          <rPr>
            <sz val="8"/>
            <color indexed="81"/>
            <rFont val="Tahoma"/>
            <family val="2"/>
            <charset val="238"/>
          </rPr>
          <t>V případě podbarvení této buňky vypočteno dle § 163 odst. 4 ZP (neposuzuje se odděleně)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Miroslav Sojka</author>
  </authors>
  <commentList>
    <comment ref="B3" authorId="0" shapeId="0" xr:uid="{E908BA29-F4DB-4556-845B-666CC7AA923E}">
      <text>
        <r>
          <rPr>
            <sz val="9"/>
            <color indexed="81"/>
            <rFont val="Tahoma"/>
            <family val="2"/>
            <charset val="238"/>
          </rPr>
          <t xml:space="preserve">Jméno, název a místo se přenáší z listu "Příkaz"
</t>
        </r>
      </text>
    </comment>
    <comment ref="E6" authorId="0" shapeId="0" xr:uid="{AC2EA235-0BA7-4689-BD08-ED2C7ED40F5C}">
      <text>
        <r>
          <rPr>
            <sz val="9"/>
            <color indexed="81"/>
            <rFont val="Calibri"/>
            <family val="2"/>
            <charset val="238"/>
            <scheme val="minor"/>
          </rPr>
          <t>Zadejte ve tvaru dd.mm.rr
např. 25.3.20</t>
        </r>
      </text>
    </comment>
    <comment ref="F6" authorId="0" shapeId="0" xr:uid="{0465C81E-5F3A-44A0-8482-B94E999CDC03}">
      <text>
        <r>
          <rPr>
            <sz val="9"/>
            <color indexed="81"/>
            <rFont val="Calibri"/>
            <family val="2"/>
            <charset val="238"/>
            <scheme val="minor"/>
          </rPr>
          <t>zadejte hh:mm
např. 12:35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L7" authorId="0" shapeId="0" xr:uid="{395101DA-AD2A-40D1-BF83-76232F1111EF}">
      <text>
        <r>
          <rPr>
            <sz val="9"/>
            <color indexed="81"/>
            <rFont val="Calibri"/>
            <family val="2"/>
            <charset val="238"/>
            <scheme val="minor"/>
          </rPr>
          <t>Uveďte spotřebu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Miroslav Sojka</author>
  </authors>
  <commentList>
    <comment ref="F4" authorId="0" shapeId="0" xr:uid="{5595AA8C-9A8A-4D14-BC41-C7610A1E9158}">
      <text>
        <r>
          <rPr>
            <sz val="9"/>
            <color indexed="81"/>
            <rFont val="Tahoma"/>
            <family val="2"/>
            <charset val="238"/>
          </rPr>
          <t xml:space="preserve">Údaje v bílých buňkách se přenáší z listu "Příkaz"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242255C-E4AE-4C8D-811D-A2456A64713B}" keepAlive="1" name="Dotaz – rok" description="Připojení k dotazu produktu rok v sešitě" type="5" refreshedVersion="6" background="1" saveData="1">
    <dbPr connection="Provider=Microsoft.Mashup.OleDb.1;Data Source=$Workbook$;Location=rok;Extended Properties=&quot;&quot;" command="SELECT * FROM [rok]"/>
  </connection>
</connections>
</file>

<file path=xl/sharedStrings.xml><?xml version="1.0" encoding="utf-8"?>
<sst xmlns="http://schemas.openxmlformats.org/spreadsheetml/2006/main" count="1090" uniqueCount="505">
  <si>
    <t>ano</t>
  </si>
  <si>
    <t>ne</t>
  </si>
  <si>
    <t>Datum</t>
  </si>
  <si>
    <r>
      <t>Použitý dopr. prostředek</t>
    </r>
    <r>
      <rPr>
        <vertAlign val="superscript"/>
        <sz val="8"/>
        <rFont val="Calibri"/>
        <family val="2"/>
        <charset val="238"/>
      </rPr>
      <t>2)</t>
    </r>
  </si>
  <si>
    <t>Jízdné a místní přeprava</t>
  </si>
  <si>
    <t>Stravné</t>
  </si>
  <si>
    <t>Noc-
ležné</t>
  </si>
  <si>
    <t>Nutné
vedlejší výdaje</t>
  </si>
  <si>
    <t>Celkem</t>
  </si>
  <si>
    <t>Upraveno</t>
  </si>
  <si>
    <t>v hod.</t>
  </si>
  <si>
    <t>Kč</t>
  </si>
  <si>
    <t>Odjezd</t>
  </si>
  <si>
    <t>Příjezd</t>
  </si>
  <si>
    <t>Záloha</t>
  </si>
  <si>
    <t>L - letadlo</t>
  </si>
  <si>
    <t>A - autobus</t>
  </si>
  <si>
    <t>Číslo bankovního účtu pro zasílání náhrad účtovateli:</t>
  </si>
  <si>
    <t>Datum a podpis účtovatele</t>
  </si>
  <si>
    <t xml:space="preserve">Zpráva o výsledku pracovní cesty byla podána dne: </t>
  </si>
  <si>
    <t>VYÚČTOVÁNÍ PRACOVNÍ CESTY</t>
  </si>
  <si>
    <t>O</t>
  </si>
  <si>
    <t>A</t>
  </si>
  <si>
    <t>Autobus</t>
  </si>
  <si>
    <t>Letadlo</t>
  </si>
  <si>
    <t>L</t>
  </si>
  <si>
    <t>P</t>
  </si>
  <si>
    <t>spotřeba 1</t>
  </si>
  <si>
    <t>spotřeba 2</t>
  </si>
  <si>
    <t>spotřeba 3</t>
  </si>
  <si>
    <t>spotřeba 4</t>
  </si>
  <si>
    <t>Vozidlo</t>
  </si>
  <si>
    <t>5 až 12 hod.</t>
  </si>
  <si>
    <t>více než 18 hod.</t>
  </si>
  <si>
    <t>12 až 18 hod.</t>
  </si>
  <si>
    <t>benzin 95 oktanů</t>
  </si>
  <si>
    <t>benzin 98 oktanů</t>
  </si>
  <si>
    <t>nafta</t>
  </si>
  <si>
    <t>Náhrady</t>
  </si>
  <si>
    <t>I</t>
  </si>
  <si>
    <t>II</t>
  </si>
  <si>
    <t>III</t>
  </si>
  <si>
    <t>počet jídel</t>
  </si>
  <si>
    <t>Jízdné v případě AUV</t>
  </si>
  <si>
    <t>Palivo</t>
  </si>
  <si>
    <t>amortizace za km</t>
  </si>
  <si>
    <t>Cena paliva z dokladu</t>
  </si>
  <si>
    <t>Bezplatně poskytnutá strava</t>
  </si>
  <si>
    <t>S</t>
  </si>
  <si>
    <t>V</t>
  </si>
  <si>
    <t>SO</t>
  </si>
  <si>
    <t>SV</t>
  </si>
  <si>
    <t>OV</t>
  </si>
  <si>
    <t>SOV</t>
  </si>
  <si>
    <t>Z</t>
  </si>
  <si>
    <t>K</t>
  </si>
  <si>
    <t>0 - 5 hod</t>
  </si>
  <si>
    <t>snídaně</t>
  </si>
  <si>
    <t>oběd</t>
  </si>
  <si>
    <t>večeře</t>
  </si>
  <si>
    <t>doba</t>
  </si>
  <si>
    <t>skupina</t>
  </si>
  <si>
    <t>náhrada za km paliva</t>
  </si>
  <si>
    <t>Vlak</t>
  </si>
  <si>
    <t>V - Vlak</t>
  </si>
  <si>
    <t>Odjezd - příjezd</t>
  </si>
  <si>
    <r>
      <t xml:space="preserve">Vzdálenost
v km </t>
    </r>
    <r>
      <rPr>
        <vertAlign val="superscript"/>
        <sz val="8"/>
        <rFont val="Calibri"/>
        <family val="2"/>
        <charset val="238"/>
        <scheme val="minor"/>
      </rPr>
      <t>1</t>
    </r>
    <r>
      <rPr>
        <vertAlign val="superscript"/>
        <sz val="8"/>
        <rFont val="Calibri"/>
        <family val="2"/>
        <charset val="238"/>
      </rPr>
      <t>)</t>
    </r>
  </si>
  <si>
    <t>Strava poskytnuta bezplatně</t>
  </si>
  <si>
    <t>Ubytování  poskytnuto bezplatně:*</t>
  </si>
  <si>
    <t>Zdroj financování (PF UK, grant, jiný zdroj):</t>
  </si>
  <si>
    <t>Prohlašuji, že jsem všechny údaje uvedl úplně a správně.</t>
  </si>
  <si>
    <t>Podpis přímého nadřízeného nebo řešitele grantu, projektu…</t>
  </si>
  <si>
    <t>Datum a podpis správce rozpočtu (tajemníka)</t>
  </si>
  <si>
    <t xml:space="preserve">Podpis vedoucího ekonom. odd. </t>
  </si>
  <si>
    <t>Podpis zaměstnance, který kontroloval 
a upravil vyúčtování (pokladní)</t>
  </si>
  <si>
    <t>Se způsobem provedení vyučtování souhlasí:</t>
  </si>
  <si>
    <t>SPZ</t>
  </si>
  <si>
    <t>VV</t>
  </si>
  <si>
    <t>Služební silniční vozidlo</t>
  </si>
  <si>
    <t>Vlastní silniční vozidlo - náhrada za každý km jízdy</t>
  </si>
  <si>
    <t>Vlastní vozidlo s náhradou výdajů za vlak</t>
  </si>
  <si>
    <t>Vlastní vozidlo s náhradou výdajů za autobus</t>
  </si>
  <si>
    <t>Spolujízda</t>
  </si>
  <si>
    <t>V - VV</t>
  </si>
  <si>
    <t>A - VV</t>
  </si>
  <si>
    <t>SV - služební vozidlo</t>
  </si>
  <si>
    <t>CV -  spolujízda</t>
  </si>
  <si>
    <t>VV - vlastní vozidlo</t>
  </si>
  <si>
    <t>V - VV  - vlastní vozidlo s náhradou výdajů za vlak</t>
  </si>
  <si>
    <t>A - VV - vlastní vozidlo s náhradou výdajů za autobus</t>
  </si>
  <si>
    <t>3 údaje v TP</t>
  </si>
  <si>
    <t>80/1268/EHS</t>
  </si>
  <si>
    <t>arit.průměr</t>
  </si>
  <si>
    <t>93/116/ES</t>
  </si>
  <si>
    <t>třetí údaj</t>
  </si>
  <si>
    <t>1999/100/ES</t>
  </si>
  <si>
    <t>2004/3/ES</t>
  </si>
  <si>
    <t>EU 692/2008</t>
  </si>
  <si>
    <t>EU 692/2008A,…F</t>
  </si>
  <si>
    <t>EU/566/2011</t>
  </si>
  <si>
    <t>2007/46/ES</t>
  </si>
  <si>
    <t>EHK 101,R101.00</t>
  </si>
  <si>
    <t>459/2012/EU</t>
  </si>
  <si>
    <t xml:space="preserve">630/2012/EU </t>
  </si>
  <si>
    <t>EU195/2013</t>
  </si>
  <si>
    <t>715/2007/ES</t>
  </si>
  <si>
    <t>EU136/2014</t>
  </si>
  <si>
    <t>EU2016/646</t>
  </si>
  <si>
    <t>EU2017/1347</t>
  </si>
  <si>
    <t>EU2015/45</t>
  </si>
  <si>
    <t>jiná norma</t>
  </si>
  <si>
    <t>Doplňte kombinovanou spotřebu dle norem EU z TP a ostatní pole ponechte prázdné</t>
  </si>
  <si>
    <t>Pokud nezadáte cenu paliva z dokladu, bude použita cena z vyhlášky</t>
  </si>
  <si>
    <t>Přehled EU norem používaných v TP</t>
  </si>
  <si>
    <t>Průměr - použitá spotřeba</t>
  </si>
  <si>
    <t>Jméno a příjmení:</t>
  </si>
  <si>
    <t>Místo konání:</t>
  </si>
  <si>
    <t>V Praze dne</t>
  </si>
  <si>
    <t>Podpis zaměstnance</t>
  </si>
  <si>
    <t>POUŽITÍ  SOUKROMÉHO  VOZIDLA NA PRACOVNÍ CESTU</t>
  </si>
  <si>
    <t>Vlastník  vozidla:</t>
  </si>
  <si>
    <t>Účel:</t>
  </si>
  <si>
    <t>Řidič vozidla:</t>
  </si>
  <si>
    <t>RZ vozidla:</t>
  </si>
  <si>
    <t>Typ vozu:</t>
  </si>
  <si>
    <t>Číslo havarijní pojistky:</t>
  </si>
  <si>
    <t>Spolucestující:</t>
  </si>
  <si>
    <t>Prohlašuji, že vozidlo použité na této služební cestě</t>
  </si>
  <si>
    <t>JE</t>
  </si>
  <si>
    <t>NENÍ</t>
  </si>
  <si>
    <t>Prohlašuji, že mám platný řidičský průkaz.</t>
  </si>
  <si>
    <t>Podpis tajemníka (správce rozpočtu)</t>
  </si>
  <si>
    <t>L - VV</t>
  </si>
  <si>
    <t>Vlastní vozidlo s náhradou výdajů za letadlo</t>
  </si>
  <si>
    <t>L - VV - vlastní vozidlo s náhradou výdajů za letadlo</t>
  </si>
  <si>
    <t>Podpis vedoucího ekonomického oddělení</t>
  </si>
  <si>
    <t>Žádám o zálohu:</t>
  </si>
  <si>
    <t>Ano, v hotovosti</t>
  </si>
  <si>
    <t>Ne</t>
  </si>
  <si>
    <t>Ano, na bank. účet</t>
  </si>
  <si>
    <t>CESTOVNÍ  PŘÍKAZ K USKUTEČNĚNÍ ZAHRANIČNÍ PRACOVNÍ CESTY</t>
  </si>
  <si>
    <t>jinak</t>
  </si>
  <si>
    <t>Zahájení cesty</t>
  </si>
  <si>
    <t>Místo:</t>
  </si>
  <si>
    <t>Datum:</t>
  </si>
  <si>
    <t>Ukončení cesty</t>
  </si>
  <si>
    <t>počet dní</t>
  </si>
  <si>
    <t>dní</t>
  </si>
  <si>
    <t>den</t>
  </si>
  <si>
    <t>dny</t>
  </si>
  <si>
    <t>vyjíždějící</t>
  </si>
  <si>
    <t>Výše zálohy:</t>
  </si>
  <si>
    <t>CZK</t>
  </si>
  <si>
    <t>EUR</t>
  </si>
  <si>
    <t>USD</t>
  </si>
  <si>
    <t>AUD</t>
  </si>
  <si>
    <t>Brazílie</t>
  </si>
  <si>
    <t>BRL</t>
  </si>
  <si>
    <t>Bulharsko</t>
  </si>
  <si>
    <t>BGN</t>
  </si>
  <si>
    <t>Čína</t>
  </si>
  <si>
    <t>CNY</t>
  </si>
  <si>
    <t>Dánsko</t>
  </si>
  <si>
    <t>DKK</t>
  </si>
  <si>
    <t>euro</t>
  </si>
  <si>
    <t>Filipíny</t>
  </si>
  <si>
    <t>PHP</t>
  </si>
  <si>
    <t>HKD</t>
  </si>
  <si>
    <t>Chorvatsko</t>
  </si>
  <si>
    <t>HRK</t>
  </si>
  <si>
    <t>Indie</t>
  </si>
  <si>
    <t>INR</t>
  </si>
  <si>
    <t>IDR</t>
  </si>
  <si>
    <t>Island</t>
  </si>
  <si>
    <t>ISK</t>
  </si>
  <si>
    <t>Izrael</t>
  </si>
  <si>
    <t>ILS</t>
  </si>
  <si>
    <t>Japonsko</t>
  </si>
  <si>
    <t>JPY</t>
  </si>
  <si>
    <t>ZAR</t>
  </si>
  <si>
    <t>Kanada</t>
  </si>
  <si>
    <t>CAD</t>
  </si>
  <si>
    <t>Korejská republika</t>
  </si>
  <si>
    <t>KRW</t>
  </si>
  <si>
    <t>Maďarsko</t>
  </si>
  <si>
    <t>HUF</t>
  </si>
  <si>
    <t>Malajsie</t>
  </si>
  <si>
    <t>MYR</t>
  </si>
  <si>
    <t>Mexiko</t>
  </si>
  <si>
    <t>MXN</t>
  </si>
  <si>
    <t>XDR</t>
  </si>
  <si>
    <t>Norsko</t>
  </si>
  <si>
    <t>NOK</t>
  </si>
  <si>
    <t>Nový Zéland</t>
  </si>
  <si>
    <t>NZD</t>
  </si>
  <si>
    <t>Polsko</t>
  </si>
  <si>
    <t>PLN</t>
  </si>
  <si>
    <t>Rumunsko</t>
  </si>
  <si>
    <t>RON</t>
  </si>
  <si>
    <t>Rusko</t>
  </si>
  <si>
    <t>RUB</t>
  </si>
  <si>
    <t>Singapur</t>
  </si>
  <si>
    <t>SGD</t>
  </si>
  <si>
    <t>Švédsko</t>
  </si>
  <si>
    <t>SEK</t>
  </si>
  <si>
    <t>Švýcarsko</t>
  </si>
  <si>
    <t>CHF</t>
  </si>
  <si>
    <t>Thajsko</t>
  </si>
  <si>
    <t>THB</t>
  </si>
  <si>
    <t>Turecko</t>
  </si>
  <si>
    <t>TRY</t>
  </si>
  <si>
    <t>Velká Británie</t>
  </si>
  <si>
    <t>GBP</t>
  </si>
  <si>
    <t>Útvar:</t>
  </si>
  <si>
    <t>Jízdné hradí:</t>
  </si>
  <si>
    <t>čas</t>
  </si>
  <si>
    <t>Překročení státní hranice/odlet</t>
  </si>
  <si>
    <t>Překročení státní hranice/přílet</t>
  </si>
  <si>
    <t>datum</t>
  </si>
  <si>
    <t>místo</t>
  </si>
  <si>
    <t>SJ</t>
  </si>
  <si>
    <t>Poskytnuta záloha</t>
  </si>
  <si>
    <t>Záloha 2</t>
  </si>
  <si>
    <t xml:space="preserve">Záloha 1 </t>
  </si>
  <si>
    <t xml:space="preserve"> vydaná dne</t>
  </si>
  <si>
    <t>částka</t>
  </si>
  <si>
    <t>měna</t>
  </si>
  <si>
    <t>kurz ČNB</t>
  </si>
  <si>
    <t>stát</t>
  </si>
  <si>
    <t>Země</t>
  </si>
  <si>
    <t>Měnový kód</t>
  </si>
  <si>
    <t>Měna</t>
  </si>
  <si>
    <t>Základní sazby zahraničního stravného</t>
  </si>
  <si>
    <t>Afghánistán</t>
  </si>
  <si>
    <t>Albánie</t>
  </si>
  <si>
    <t>Alžírsko</t>
  </si>
  <si>
    <t>Andorra</t>
  </si>
  <si>
    <t>Angola</t>
  </si>
  <si>
    <t>americký dolar</t>
  </si>
  <si>
    <t>Argentina</t>
  </si>
  <si>
    <t>Arménie</t>
  </si>
  <si>
    <t>Ázerbájdžán</t>
  </si>
  <si>
    <t>Bahamy</t>
  </si>
  <si>
    <t>Bahrajn</t>
  </si>
  <si>
    <t>Bangladéš</t>
  </si>
  <si>
    <t>Belgie</t>
  </si>
  <si>
    <t>Belize</t>
  </si>
  <si>
    <t>Benin</t>
  </si>
  <si>
    <t>Bermudy</t>
  </si>
  <si>
    <t>Bělorusko</t>
  </si>
  <si>
    <t>Bhútán</t>
  </si>
  <si>
    <t>Bolívie</t>
  </si>
  <si>
    <t>Bosna a Hercegovina</t>
  </si>
  <si>
    <t>Botswana</t>
  </si>
  <si>
    <t>Brunej</t>
  </si>
  <si>
    <t xml:space="preserve">Burkina Faso </t>
  </si>
  <si>
    <t>Burundi</t>
  </si>
  <si>
    <t>Čad</t>
  </si>
  <si>
    <t>Černá Hora</t>
  </si>
  <si>
    <t>Egypt</t>
  </si>
  <si>
    <t>Ekvádor</t>
  </si>
  <si>
    <t>Eritrea</t>
  </si>
  <si>
    <t>Estonsko</t>
  </si>
  <si>
    <t>Etiopie</t>
  </si>
  <si>
    <t>Finsko</t>
  </si>
  <si>
    <t>Francie</t>
  </si>
  <si>
    <t>Gabon</t>
  </si>
  <si>
    <t>Gambie</t>
  </si>
  <si>
    <t>Ghana</t>
  </si>
  <si>
    <t>Gibraltar</t>
  </si>
  <si>
    <t>Gruzie</t>
  </si>
  <si>
    <t>Guatemala</t>
  </si>
  <si>
    <t>Guinea</t>
  </si>
  <si>
    <t>Guinea-Bissau</t>
  </si>
  <si>
    <t>Guyana</t>
  </si>
  <si>
    <t>Honduras</t>
  </si>
  <si>
    <t xml:space="preserve">Hongkong </t>
  </si>
  <si>
    <t>Chile</t>
  </si>
  <si>
    <t>Indonésie</t>
  </si>
  <si>
    <t>Irák</t>
  </si>
  <si>
    <t>Írán</t>
  </si>
  <si>
    <t>Irsko</t>
  </si>
  <si>
    <t>Itálie, Vatikán a San Marino</t>
  </si>
  <si>
    <t>Jemen</t>
  </si>
  <si>
    <t>Jihoafrická republika</t>
  </si>
  <si>
    <t>Jižní Súdán</t>
  </si>
  <si>
    <t>Jordánsko</t>
  </si>
  <si>
    <t>Kambodža</t>
  </si>
  <si>
    <t>Kamerun</t>
  </si>
  <si>
    <t>Kapverdy</t>
  </si>
  <si>
    <t>Katar</t>
  </si>
  <si>
    <t>Kazachstán</t>
  </si>
  <si>
    <t>Keňa</t>
  </si>
  <si>
    <t>Kolumbie</t>
  </si>
  <si>
    <t>Komory</t>
  </si>
  <si>
    <t>Konžská republika  (Brazzaville)</t>
  </si>
  <si>
    <t>Konžská demokratická republika (Kinshasa)</t>
  </si>
  <si>
    <t>Korejská lidově demokratická republika</t>
  </si>
  <si>
    <t>Kosovo</t>
  </si>
  <si>
    <t>Kostarika</t>
  </si>
  <si>
    <t>Kuba</t>
  </si>
  <si>
    <t>Kuvajt</t>
  </si>
  <si>
    <t>Kypr</t>
  </si>
  <si>
    <t>Kyrgyzstán</t>
  </si>
  <si>
    <t>Laos</t>
  </si>
  <si>
    <t>Lesotho</t>
  </si>
  <si>
    <t>Libanon</t>
  </si>
  <si>
    <t>Libérie</t>
  </si>
  <si>
    <t>Libye</t>
  </si>
  <si>
    <t>Lichtenštejnsko</t>
  </si>
  <si>
    <t>švýcarský frank</t>
  </si>
  <si>
    <t>Litva</t>
  </si>
  <si>
    <t>Lotyšsko</t>
  </si>
  <si>
    <t>Lucembursko</t>
  </si>
  <si>
    <t xml:space="preserve">Macao </t>
  </si>
  <si>
    <t>Madagaskar</t>
  </si>
  <si>
    <t>Malawi</t>
  </si>
  <si>
    <t>Maledivy</t>
  </si>
  <si>
    <t>Mali</t>
  </si>
  <si>
    <t>Malta</t>
  </si>
  <si>
    <t>Maroko</t>
  </si>
  <si>
    <t>Mauretánie</t>
  </si>
  <si>
    <t>Mauricius</t>
  </si>
  <si>
    <t>Moldavsko</t>
  </si>
  <si>
    <t>Monako</t>
  </si>
  <si>
    <t>Mongolsko</t>
  </si>
  <si>
    <t>Myanmar (Barma)</t>
  </si>
  <si>
    <t>Namibie</t>
  </si>
  <si>
    <t>Německo</t>
  </si>
  <si>
    <t>Nepál</t>
  </si>
  <si>
    <t xml:space="preserve">Niger </t>
  </si>
  <si>
    <t>Nigérie</t>
  </si>
  <si>
    <t>Nikaragua</t>
  </si>
  <si>
    <t>Nizozemsko</t>
  </si>
  <si>
    <t>Omán</t>
  </si>
  <si>
    <t>Pákistán</t>
  </si>
  <si>
    <t>Panama</t>
  </si>
  <si>
    <t>Paraguay</t>
  </si>
  <si>
    <t>Peru</t>
  </si>
  <si>
    <t>Pobřeží Slonoviny</t>
  </si>
  <si>
    <t>Portugalsko a Azory</t>
  </si>
  <si>
    <t>Rakousko</t>
  </si>
  <si>
    <t>Rovníková Guinea</t>
  </si>
  <si>
    <t>Rwanda</t>
  </si>
  <si>
    <t>Řecko</t>
  </si>
  <si>
    <t>Salvador</t>
  </si>
  <si>
    <t>Saúdská Arábie</t>
  </si>
  <si>
    <t>Senegal</t>
  </si>
  <si>
    <t>Severní Makedonie</t>
  </si>
  <si>
    <t>Seychely</t>
  </si>
  <si>
    <t>Sierra Leone</t>
  </si>
  <si>
    <t>Spojené arabské emiráty</t>
  </si>
  <si>
    <t>Slovensko</t>
  </si>
  <si>
    <t>Slovinsko</t>
  </si>
  <si>
    <t>Somálsko</t>
  </si>
  <si>
    <t>Spojené státy americké</t>
  </si>
  <si>
    <t xml:space="preserve">Srbsko </t>
  </si>
  <si>
    <t>Srí Lanka</t>
  </si>
  <si>
    <t>Středoafrická republika</t>
  </si>
  <si>
    <t>Súdán</t>
  </si>
  <si>
    <t>Surinam</t>
  </si>
  <si>
    <t>Svatý Tomáš a Princův ostrov</t>
  </si>
  <si>
    <t xml:space="preserve">Svazijsko </t>
  </si>
  <si>
    <t>Sýrie</t>
  </si>
  <si>
    <t>Španělsko</t>
  </si>
  <si>
    <t>Tádžikistán</t>
  </si>
  <si>
    <t>Tanzanie</t>
  </si>
  <si>
    <t>Tchaj-wan</t>
  </si>
  <si>
    <t xml:space="preserve">Togo </t>
  </si>
  <si>
    <t>Tunisko</t>
  </si>
  <si>
    <t>Turkmenistán</t>
  </si>
  <si>
    <t>Uganda</t>
  </si>
  <si>
    <t>Ukrajina</t>
  </si>
  <si>
    <t>Uruguay</t>
  </si>
  <si>
    <t>Uzbekistán</t>
  </si>
  <si>
    <t>anglická libra</t>
  </si>
  <si>
    <t>Venezuela</t>
  </si>
  <si>
    <t>Vietnam</t>
  </si>
  <si>
    <t>Zambie</t>
  </si>
  <si>
    <t>Zimbabwe</t>
  </si>
  <si>
    <t xml:space="preserve">Austrálie a Oceánie – ostrovní státy1) </t>
  </si>
  <si>
    <t xml:space="preserve">Karibik – ostrovní státy2) </t>
  </si>
  <si>
    <t>základní sazba zahraničního stravného</t>
  </si>
  <si>
    <t>1 AUD</t>
  </si>
  <si>
    <t>1 BGN</t>
  </si>
  <si>
    <t>1 BRL</t>
  </si>
  <si>
    <t>1 CAD</t>
  </si>
  <si>
    <t>1 CHF</t>
  </si>
  <si>
    <t>1 CNY</t>
  </si>
  <si>
    <t>1 DKK</t>
  </si>
  <si>
    <t>1 EUR</t>
  </si>
  <si>
    <t>1 GBP</t>
  </si>
  <si>
    <t>1 HKD</t>
  </si>
  <si>
    <t>1 HRK</t>
  </si>
  <si>
    <t>100 HUF</t>
  </si>
  <si>
    <t>1000 IDR</t>
  </si>
  <si>
    <t>1 ILS</t>
  </si>
  <si>
    <t>100 INR</t>
  </si>
  <si>
    <t>100 ISK</t>
  </si>
  <si>
    <t>100 JPY</t>
  </si>
  <si>
    <t>100 KRW</t>
  </si>
  <si>
    <t>1 MXN</t>
  </si>
  <si>
    <t>1 MYR</t>
  </si>
  <si>
    <t>1 NOK</t>
  </si>
  <si>
    <t>1 NZD</t>
  </si>
  <si>
    <t>100 PHP</t>
  </si>
  <si>
    <t>1 PLN</t>
  </si>
  <si>
    <t>1 RON</t>
  </si>
  <si>
    <t>100 RUB</t>
  </si>
  <si>
    <t>1 SEK</t>
  </si>
  <si>
    <t>1 SGD</t>
  </si>
  <si>
    <t>100 THB</t>
  </si>
  <si>
    <t>1 TRY</t>
  </si>
  <si>
    <t>1 USD</t>
  </si>
  <si>
    <t>1 XDR</t>
  </si>
  <si>
    <t>1 ZAR</t>
  </si>
  <si>
    <t>doba zahr</t>
  </si>
  <si>
    <t>doba CR</t>
  </si>
  <si>
    <t>1 až 12 hod.</t>
  </si>
  <si>
    <t>0 - 1 hod</t>
  </si>
  <si>
    <t>zahra</t>
  </si>
  <si>
    <t>kod tuz</t>
  </si>
  <si>
    <t>kod zahr</t>
  </si>
  <si>
    <t>stravne CR</t>
  </si>
  <si>
    <t>stravne zahr</t>
  </si>
  <si>
    <t>elektřina</t>
  </si>
  <si>
    <t>Pokud údaj o kombinované spotřebě v technickém průkazu není, vypočte se spotřeba PHM vozidla aritmetickým průměrem ze všech údajů o spotřebě uvedených v technickém průkazu.</t>
  </si>
  <si>
    <t>přep zahr</t>
  </si>
  <si>
    <t>přep CR</t>
  </si>
  <si>
    <t>Jízdní výdaje</t>
  </si>
  <si>
    <t>Popis</t>
  </si>
  <si>
    <t>VYÚČTOVÁNÍ</t>
  </si>
  <si>
    <t>Výdaje za ubytování</t>
  </si>
  <si>
    <t>Ostatní výdaje</t>
  </si>
  <si>
    <t>Podpis přímého nadřízeného</t>
  </si>
  <si>
    <t>Podpis správce rozpočtu (tajemníka)</t>
  </si>
  <si>
    <t>použit kurz ze dne</t>
  </si>
  <si>
    <t>Celková vzdálenost v km  při použití VV</t>
  </si>
  <si>
    <t>Vlastní vozidlo - VV</t>
  </si>
  <si>
    <t>Cena paliva z dokladu CZK</t>
  </si>
  <si>
    <t>VYÚČTOVÁNÍ ZAHRANIČNÍ PRACOVNÍ CESTY</t>
  </si>
  <si>
    <t>Jméno a příjmení</t>
  </si>
  <si>
    <t>Podpis řešitele grantu nebo projektu</t>
  </si>
  <si>
    <t>Podpis vedoucího zahraničního oddělení</t>
  </si>
  <si>
    <t>Číslo bankovního účtu pro zasílání náhrad zaměstnanci:</t>
  </si>
  <si>
    <t>Návrh na určení dopravního prostředku:</t>
  </si>
  <si>
    <t>Vyplní řidič vozidla (zaměstnanec) před cestou.</t>
  </si>
  <si>
    <t xml:space="preserve">Přílohy: </t>
  </si>
  <si>
    <t xml:space="preserve"> - kopie velkého technického průkazu (datum aktuální technické kontroly)
 - kopie dokladu o zaplacení havarijního pojištění (pokud jste už neodevzdali  na ekonomickém oddělení.)</t>
  </si>
  <si>
    <t>Předpokládaná výše jízdních výdajů  za jehož použití mají být poskytnuty náhrady jízdních výdajů:</t>
  </si>
  <si>
    <t>Podpis  řešitele grantu nebo projektu</t>
  </si>
  <si>
    <t>Zdroj financování (PF UK, grant nebo projekt):</t>
  </si>
  <si>
    <t>Podpis pracovníka ekonomického oddělení, 
který kontroloval a upravil vyúčtování</t>
  </si>
  <si>
    <t>Prohlašuji, že jsem všechny údaje uvedl úplně, a že je  zpráva ze zahraniční  pracovní cesty přiložena.</t>
  </si>
  <si>
    <t>Použitý dopr. prostředek</t>
  </si>
  <si>
    <t>ZO PF UK</t>
  </si>
  <si>
    <t>Stát, místo, pořadatel</t>
  </si>
  <si>
    <t>Očekávaný přínos/výstup:</t>
  </si>
  <si>
    <t>(PF UK, grant nebo projekt)</t>
  </si>
  <si>
    <t>Ubytování hradí:</t>
  </si>
  <si>
    <t>Stravné hradí:</t>
  </si>
  <si>
    <t>Specifikace</t>
  </si>
  <si>
    <t>Nutné vedl. výd. hradí:</t>
  </si>
  <si>
    <t>Úhrada ostatních výdajů (PF UK, grant nebo projekt)</t>
  </si>
  <si>
    <t>Nutné vedlejší výdaje specifikace:</t>
  </si>
  <si>
    <t>Předpokládáná výše ostatních výdajů v Kč</t>
  </si>
  <si>
    <t>Výše v Kč podle naposledy aktualizovaného kurzu</t>
  </si>
  <si>
    <t>Datum povinn. proškolení  řidiče:</t>
  </si>
  <si>
    <t>Předpokládáné výdaje celkem</t>
  </si>
  <si>
    <t>částka v Kč</t>
  </si>
  <si>
    <t>začátek zahr</t>
  </si>
  <si>
    <t>konec zahr</t>
  </si>
  <si>
    <t>Celkem (včetně stravného)</t>
  </si>
  <si>
    <t>Džibutsko</t>
  </si>
  <si>
    <t>Francouzská Guyana</t>
  </si>
  <si>
    <t>Mosambik</t>
  </si>
  <si>
    <t>Ostatní země neuvedené v příloze</t>
  </si>
  <si>
    <t>Poznámka schvalujících</t>
  </si>
  <si>
    <t>Datum a podpis zaměstnance</t>
  </si>
  <si>
    <t>ZPRÁVA O PRŮBĚHU A VÝSLEDCÍCH  PRACOVNÍ CESTY</t>
  </si>
  <si>
    <t>Útvar, katedra:</t>
  </si>
  <si>
    <t>Datum a místo zahájení cesty:</t>
  </si>
  <si>
    <t>Datum a místo ukončení cesty:</t>
  </si>
  <si>
    <t>Zdroj financování (PF UK, grant, projekt):</t>
  </si>
  <si>
    <t>Způsob dopravy:</t>
  </si>
  <si>
    <t>Průběh cesty:</t>
  </si>
  <si>
    <t>Výsledek pracovní cesty (přínos pracovní cesty):</t>
  </si>
  <si>
    <t xml:space="preserve"> v evidenci plátců silniční daně pro rok 2022.</t>
  </si>
  <si>
    <t>Počet dní:</t>
  </si>
  <si>
    <t>jízdné</t>
  </si>
  <si>
    <t>k vyúčtování</t>
  </si>
  <si>
    <t>nárok</t>
  </si>
  <si>
    <t>Poskytnuté náhrady za výdaje:</t>
  </si>
  <si>
    <t>ostatní</t>
  </si>
  <si>
    <t>Poskytnuté náhrady za stravné</t>
  </si>
  <si>
    <t>Místo konání akce</t>
  </si>
  <si>
    <t>Název akce/Účel:</t>
  </si>
  <si>
    <t>body</t>
  </si>
  <si>
    <t>ubytování</t>
  </si>
  <si>
    <t>Příloha OD  č. 1/2022</t>
  </si>
  <si>
    <t>Příloha OD  č. 1/2022
Evidenční číslo:</t>
  </si>
  <si>
    <r>
      <rPr>
        <b/>
        <sz val="8"/>
        <rFont val="Calibri"/>
        <family val="2"/>
        <charset val="238"/>
        <scheme val="minor"/>
      </rPr>
      <t xml:space="preserve">Neposkytnutí náhrady cestovních výdajů
 </t>
    </r>
    <r>
      <rPr>
        <sz val="8"/>
        <rFont val="Calibri"/>
        <family val="2"/>
        <charset val="238"/>
        <scheme val="minor"/>
      </rPr>
      <t>dle čl.15 OD 1/2022 v případě, že byla zaměstnanci poskytnuta náhrada v zahraničí nebo z jiného zdroje</t>
    </r>
  </si>
  <si>
    <t>náhrada</t>
  </si>
  <si>
    <r>
      <rPr>
        <sz val="8"/>
        <color theme="1"/>
        <rFont val="Calibri"/>
        <family val="2"/>
        <charset val="238"/>
        <scheme val="minor"/>
      </rPr>
      <t>Příloha OD  č. 1/2022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</si>
  <si>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Podpis proděkanky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</si>
</sst>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\ &quot;₽&quot;_-;\-* #,##0\ &quot;₽&quot;_-;_-* &quot;-&quot;\ &quot;₽&quot;_-;_-@_-"/>
    <numFmt numFmtId="165" formatCode="dd/mm/yy;@"/>
    <numFmt numFmtId="166" formatCode="0.000"/>
    <numFmt numFmtId="167" formatCode="0.00000"/>
    <numFmt numFmtId="168" formatCode="d/m/yy\ h:mm;@"/>
    <numFmt numFmtId="169" formatCode="[h]:mm:ss;@"/>
    <numFmt numFmtId="170" formatCode="#,##0.00\ &quot;Kč&quot;"/>
    <numFmt numFmtId="171" formatCode="#,##0.000\ [$CZK]"/>
    <numFmt numFmtId="172" formatCode="#,##0.0000"/>
    <numFmt numFmtId="173" formatCode="dd/mm/yyyy\ hh:mm;@"/>
    <numFmt numFmtId="174" formatCode="0.0000"/>
    <numFmt numFmtId="175" formatCode="_-* #,##0\ [$CZK]_-;\-* #,##0\ [$CZK]_-;_-* &quot;-&quot;\ [$CZK]_-;_-@_-"/>
    <numFmt numFmtId="176" formatCode="0.00000000000000000000000"/>
    <numFmt numFmtId="177" formatCode="_-* #,##0.000\ _K_č_-;\-* #,##0.000\ _K_č_-;_-* &quot;-&quot;??\ _K_č_-;_-@_-"/>
    <numFmt numFmtId="178" formatCode="#,##0.00\ [$CZK]"/>
    <numFmt numFmtId="179" formatCode="#,##0\ &quot;Kč&quot;"/>
    <numFmt numFmtId="180" formatCode="_-* #,##0.00\ [$CZK]_-;\-* #,##0.00\ [$CZK]_-;_-* &quot;-&quot;??\ [$CZK]_-;_-@_-"/>
  </numFmts>
  <fonts count="4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vertAlign val="superscript"/>
      <sz val="7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7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CF2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1" fillId="0" borderId="2"/>
    <xf numFmtId="0" fontId="30" fillId="0" borderId="0"/>
  </cellStyleXfs>
  <cellXfs count="553">
    <xf numFmtId="0" fontId="0" fillId="0" borderId="0" xfId="0"/>
    <xf numFmtId="0" fontId="0" fillId="0" borderId="7" xfId="0" applyBorder="1"/>
    <xf numFmtId="0" fontId="4" fillId="0" borderId="9" xfId="1" applyFont="1" applyBorder="1"/>
    <xf numFmtId="0" fontId="4" fillId="0" borderId="0" xfId="1" applyFont="1" applyAlignment="1">
      <alignment horizontal="center" vertical="center"/>
    </xf>
    <xf numFmtId="0" fontId="0" fillId="0" borderId="10" xfId="0" applyBorder="1"/>
    <xf numFmtId="0" fontId="8" fillId="0" borderId="0" xfId="0" applyFont="1"/>
    <xf numFmtId="0" fontId="9" fillId="0" borderId="0" xfId="0" applyFont="1"/>
    <xf numFmtId="0" fontId="10" fillId="0" borderId="0" xfId="1" applyFont="1" applyAlignment="1">
      <alignment horizontal="left"/>
    </xf>
    <xf numFmtId="0" fontId="10" fillId="0" borderId="0" xfId="1" applyFont="1"/>
    <xf numFmtId="0" fontId="4" fillId="0" borderId="13" xfId="1" applyFont="1" applyBorder="1" applyAlignment="1">
      <alignment horizontal="center" vertical="center"/>
    </xf>
    <xf numFmtId="20" fontId="4" fillId="0" borderId="2" xfId="1" applyNumberFormat="1" applyFont="1" applyBorder="1" applyAlignment="1">
      <alignment vertical="center"/>
    </xf>
    <xf numFmtId="0" fontId="4" fillId="0" borderId="9" xfId="1" applyFont="1" applyBorder="1" applyAlignment="1">
      <alignment horizontal="center" vertical="center"/>
    </xf>
    <xf numFmtId="20" fontId="4" fillId="0" borderId="9" xfId="1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0" xfId="1" applyFont="1" applyAlignment="1">
      <alignment wrapText="1"/>
    </xf>
    <xf numFmtId="0" fontId="4" fillId="0" borderId="1" xfId="1" applyFont="1" applyBorder="1"/>
    <xf numFmtId="0" fontId="4" fillId="0" borderId="3" xfId="1" applyFont="1" applyBorder="1"/>
    <xf numFmtId="4" fontId="4" fillId="0" borderId="12" xfId="1" applyNumberFormat="1" applyFont="1" applyBorder="1"/>
    <xf numFmtId="4" fontId="4" fillId="0" borderId="14" xfId="1" applyNumberFormat="1" applyFont="1" applyBorder="1"/>
    <xf numFmtId="0" fontId="4" fillId="2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2" fontId="4" fillId="2" borderId="2" xfId="1" applyNumberFormat="1" applyFont="1" applyFill="1" applyBorder="1" applyAlignment="1">
      <alignment horizontal="right"/>
    </xf>
    <xf numFmtId="2" fontId="4" fillId="0" borderId="2" xfId="1" applyNumberFormat="1" applyFont="1" applyBorder="1" applyAlignment="1">
      <alignment horizontal="left"/>
    </xf>
    <xf numFmtId="0" fontId="4" fillId="0" borderId="0" xfId="1" applyFont="1"/>
    <xf numFmtId="0" fontId="13" fillId="0" borderId="0" xfId="0" applyFont="1"/>
    <xf numFmtId="20" fontId="10" fillId="0" borderId="0" xfId="1" applyNumberFormat="1" applyFont="1"/>
    <xf numFmtId="0" fontId="0" fillId="0" borderId="8" xfId="0" applyBorder="1"/>
    <xf numFmtId="0" fontId="4" fillId="0" borderId="11" xfId="1" applyFont="1" applyBorder="1"/>
    <xf numFmtId="0" fontId="16" fillId="0" borderId="0" xfId="1" applyFont="1"/>
    <xf numFmtId="0" fontId="4" fillId="0" borderId="12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/>
    </xf>
    <xf numFmtId="0" fontId="0" fillId="0" borderId="2" xfId="0" applyBorder="1"/>
    <xf numFmtId="0" fontId="0" fillId="0" borderId="9" xfId="0" applyBorder="1"/>
    <xf numFmtId="0" fontId="4" fillId="0" borderId="17" xfId="1" applyFont="1" applyBorder="1"/>
    <xf numFmtId="0" fontId="4" fillId="0" borderId="15" xfId="1" applyFont="1" applyBorder="1"/>
    <xf numFmtId="0" fontId="4" fillId="0" borderId="19" xfId="1" applyFont="1" applyBorder="1"/>
    <xf numFmtId="4" fontId="4" fillId="0" borderId="3" xfId="1" applyNumberFormat="1" applyFont="1" applyBorder="1"/>
    <xf numFmtId="0" fontId="10" fillId="0" borderId="12" xfId="1" applyFont="1" applyBorder="1" applyAlignment="1">
      <alignment horizontal="center" vertical="center" wrapText="1"/>
    </xf>
    <xf numFmtId="2" fontId="5" fillId="0" borderId="0" xfId="1" applyNumberFormat="1" applyFont="1"/>
    <xf numFmtId="0" fontId="0" fillId="0" borderId="0" xfId="0" applyAlignment="1">
      <alignment horizontal="right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14" fontId="4" fillId="0" borderId="0" xfId="1" applyNumberFormat="1" applyFont="1" applyAlignment="1">
      <alignment horizontal="left"/>
    </xf>
    <xf numFmtId="0" fontId="7" fillId="0" borderId="0" xfId="1" applyFont="1" applyAlignment="1">
      <alignment horizontal="left"/>
    </xf>
    <xf numFmtId="14" fontId="4" fillId="0" borderId="8" xfId="1" applyNumberFormat="1" applyFont="1" applyBorder="1" applyAlignment="1">
      <alignment horizontal="left"/>
    </xf>
    <xf numFmtId="0" fontId="4" fillId="0" borderId="8" xfId="1" applyFont="1" applyBorder="1" applyAlignment="1">
      <alignment horizontal="center"/>
    </xf>
    <xf numFmtId="0" fontId="4" fillId="0" borderId="16" xfId="1" applyFont="1" applyBorder="1"/>
    <xf numFmtId="0" fontId="4" fillId="0" borderId="21" xfId="1" applyFont="1" applyBorder="1"/>
    <xf numFmtId="0" fontId="2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1" applyFont="1"/>
    <xf numFmtId="49" fontId="0" fillId="0" borderId="0" xfId="0" applyNumberFormat="1"/>
    <xf numFmtId="0" fontId="3" fillId="0" borderId="0" xfId="1" applyFont="1" applyAlignment="1">
      <alignment horizontal="center"/>
    </xf>
    <xf numFmtId="4" fontId="4" fillId="0" borderId="0" xfId="1" applyNumberFormat="1" applyFont="1"/>
    <xf numFmtId="168" fontId="4" fillId="0" borderId="0" xfId="1" applyNumberFormat="1" applyFont="1"/>
    <xf numFmtId="165" fontId="4" fillId="0" borderId="0" xfId="1" applyNumberFormat="1" applyFont="1"/>
    <xf numFmtId="0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right"/>
    </xf>
    <xf numFmtId="0" fontId="17" fillId="0" borderId="0" xfId="0" applyFont="1"/>
    <xf numFmtId="166" fontId="17" fillId="0" borderId="0" xfId="0" applyNumberFormat="1" applyFont="1" applyAlignment="1">
      <alignment horizontal="right"/>
    </xf>
    <xf numFmtId="0" fontId="4" fillId="4" borderId="0" xfId="1" applyFont="1" applyFill="1" applyAlignment="1" applyProtection="1">
      <alignment horizontal="center"/>
      <protection locked="0"/>
    </xf>
    <xf numFmtId="0" fontId="13" fillId="3" borderId="12" xfId="0" applyFont="1" applyFill="1" applyBorder="1"/>
    <xf numFmtId="0" fontId="13" fillId="3" borderId="12" xfId="0" applyFont="1" applyFill="1" applyBorder="1" applyAlignment="1">
      <alignment horizontal="center"/>
    </xf>
    <xf numFmtId="169" fontId="13" fillId="3" borderId="12" xfId="0" applyNumberFormat="1" applyFont="1" applyFill="1" applyBorder="1" applyProtection="1">
      <protection hidden="1"/>
    </xf>
    <xf numFmtId="4" fontId="4" fillId="0" borderId="11" xfId="1" applyNumberFormat="1" applyFont="1" applyBorder="1"/>
    <xf numFmtId="0" fontId="13" fillId="4" borderId="12" xfId="0" applyFont="1" applyFill="1" applyBorder="1" applyAlignment="1" applyProtection="1">
      <alignment horizontal="center"/>
      <protection locked="0"/>
    </xf>
    <xf numFmtId="166" fontId="13" fillId="0" borderId="0" xfId="0" applyNumberFormat="1" applyFont="1"/>
    <xf numFmtId="2" fontId="4" fillId="0" borderId="2" xfId="1" applyNumberFormat="1" applyFont="1" applyBorder="1"/>
    <xf numFmtId="20" fontId="4" fillId="4" borderId="15" xfId="1" applyNumberFormat="1" applyFont="1" applyFill="1" applyBorder="1" applyAlignment="1" applyProtection="1">
      <alignment horizontal="center"/>
      <protection locked="0"/>
    </xf>
    <xf numFmtId="20" fontId="4" fillId="4" borderId="19" xfId="1" applyNumberFormat="1" applyFont="1" applyFill="1" applyBorder="1" applyAlignment="1" applyProtection="1">
      <alignment horizontal="center"/>
      <protection locked="0"/>
    </xf>
    <xf numFmtId="4" fontId="6" fillId="0" borderId="14" xfId="1" applyNumberFormat="1" applyFont="1" applyBorder="1"/>
    <xf numFmtId="0" fontId="18" fillId="0" borderId="0" xfId="0" applyFont="1"/>
    <xf numFmtId="0" fontId="4" fillId="0" borderId="8" xfId="1" applyFont="1" applyBorder="1"/>
    <xf numFmtId="0" fontId="8" fillId="0" borderId="5" xfId="0" applyFont="1" applyBorder="1"/>
    <xf numFmtId="0" fontId="7" fillId="0" borderId="5" xfId="1" applyFont="1" applyBorder="1" applyAlignment="1">
      <alignment horizontal="left"/>
    </xf>
    <xf numFmtId="0" fontId="10" fillId="0" borderId="5" xfId="1" applyFont="1" applyBorder="1" applyAlignment="1">
      <alignment horizontal="left"/>
    </xf>
    <xf numFmtId="0" fontId="10" fillId="0" borderId="5" xfId="1" applyFont="1" applyBorder="1"/>
    <xf numFmtId="0" fontId="10" fillId="0" borderId="6" xfId="1" applyFont="1" applyBorder="1"/>
    <xf numFmtId="20" fontId="10" fillId="0" borderId="0" xfId="1" applyNumberFormat="1" applyFont="1" applyAlignment="1">
      <alignment horizontal="left" indent="2"/>
    </xf>
    <xf numFmtId="0" fontId="4" fillId="0" borderId="0" xfId="1" applyFont="1" applyAlignment="1">
      <alignment horizontal="left" indent="1"/>
    </xf>
    <xf numFmtId="0" fontId="0" fillId="0" borderId="4" xfId="0" applyBorder="1"/>
    <xf numFmtId="0" fontId="0" fillId="0" borderId="45" xfId="0" applyBorder="1"/>
    <xf numFmtId="4" fontId="4" fillId="0" borderId="8" xfId="1" applyNumberFormat="1" applyFont="1" applyBorder="1"/>
    <xf numFmtId="0" fontId="4" fillId="0" borderId="8" xfId="1" applyFont="1" applyBorder="1" applyAlignment="1">
      <alignment horizontal="center" vertical="center"/>
    </xf>
    <xf numFmtId="164" fontId="4" fillId="0" borderId="8" xfId="1" applyNumberFormat="1" applyFont="1" applyBorder="1"/>
    <xf numFmtId="0" fontId="13" fillId="0" borderId="8" xfId="0" applyFont="1" applyBorder="1"/>
    <xf numFmtId="4" fontId="15" fillId="0" borderId="8" xfId="0" applyNumberFormat="1" applyFont="1" applyBorder="1" applyProtection="1">
      <protection hidden="1"/>
    </xf>
    <xf numFmtId="4" fontId="13" fillId="0" borderId="8" xfId="0" applyNumberFormat="1" applyFont="1" applyBorder="1" applyProtection="1">
      <protection hidden="1"/>
    </xf>
    <xf numFmtId="0" fontId="0" fillId="0" borderId="11" xfId="0" applyBorder="1"/>
    <xf numFmtId="0" fontId="3" fillId="0" borderId="6" xfId="1" applyFont="1" applyBorder="1" applyAlignment="1">
      <alignment horizontal="center" vertical="center"/>
    </xf>
    <xf numFmtId="0" fontId="13" fillId="0" borderId="2" xfId="0" applyFont="1" applyBorder="1"/>
    <xf numFmtId="0" fontId="0" fillId="0" borderId="5" xfId="0" applyBorder="1"/>
    <xf numFmtId="0" fontId="13" fillId="0" borderId="8" xfId="0" applyFont="1" applyBorder="1" applyAlignment="1">
      <alignment horizontal="center" wrapText="1"/>
    </xf>
    <xf numFmtId="0" fontId="13" fillId="0" borderId="12" xfId="0" applyFont="1" applyBorder="1" applyAlignment="1">
      <alignment horizontal="left"/>
    </xf>
    <xf numFmtId="165" fontId="13" fillId="0" borderId="12" xfId="0" applyNumberFormat="1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15" fillId="0" borderId="12" xfId="0" applyFont="1" applyBorder="1"/>
    <xf numFmtId="4" fontId="15" fillId="0" borderId="12" xfId="0" applyNumberFormat="1" applyFont="1" applyBorder="1" applyProtection="1">
      <protection hidden="1"/>
    </xf>
    <xf numFmtId="4" fontId="13" fillId="0" borderId="12" xfId="0" applyNumberFormat="1" applyFont="1" applyBorder="1" applyProtection="1">
      <protection hidden="1"/>
    </xf>
    <xf numFmtId="0" fontId="13" fillId="0" borderId="12" xfId="0" applyFont="1" applyBorder="1" applyAlignment="1">
      <alignment horizontal="center"/>
    </xf>
    <xf numFmtId="4" fontId="4" fillId="0" borderId="41" xfId="1" applyNumberFormat="1" applyFont="1" applyBorder="1" applyAlignment="1" applyProtection="1">
      <alignment horizontal="center" vertical="center"/>
      <protection hidden="1"/>
    </xf>
    <xf numFmtId="4" fontId="4" fillId="0" borderId="37" xfId="1" applyNumberFormat="1" applyFont="1" applyBorder="1" applyAlignment="1" applyProtection="1">
      <alignment horizontal="center" vertical="center"/>
      <protection hidden="1"/>
    </xf>
    <xf numFmtId="4" fontId="4" fillId="0" borderId="39" xfId="1" applyNumberFormat="1" applyFont="1" applyBorder="1" applyAlignment="1" applyProtection="1">
      <alignment horizontal="center" vertical="center"/>
      <protection hidden="1"/>
    </xf>
    <xf numFmtId="4" fontId="4" fillId="0" borderId="42" xfId="1" applyNumberFormat="1" applyFont="1" applyBorder="1" applyAlignment="1" applyProtection="1">
      <alignment horizontal="center" vertical="center"/>
      <protection hidden="1"/>
    </xf>
    <xf numFmtId="4" fontId="4" fillId="0" borderId="43" xfId="1" applyNumberFormat="1" applyFont="1" applyBorder="1" applyAlignment="1" applyProtection="1">
      <alignment horizontal="center" vertical="center"/>
      <protection hidden="1"/>
    </xf>
    <xf numFmtId="0" fontId="6" fillId="2" borderId="10" xfId="1" applyFont="1" applyFill="1" applyBorder="1"/>
    <xf numFmtId="0" fontId="6" fillId="2" borderId="9" xfId="1" applyFont="1" applyFill="1" applyBorder="1"/>
    <xf numFmtId="167" fontId="15" fillId="0" borderId="0" xfId="0" applyNumberFormat="1" applyFont="1" applyAlignment="1" applyProtection="1">
      <alignment horizontal="left" indent="1"/>
      <protection hidden="1"/>
    </xf>
    <xf numFmtId="0" fontId="16" fillId="0" borderId="0" xfId="0" applyFont="1"/>
    <xf numFmtId="4" fontId="4" fillId="4" borderId="12" xfId="1" applyNumberFormat="1" applyFont="1" applyFill="1" applyBorder="1" applyProtection="1">
      <protection locked="0"/>
    </xf>
    <xf numFmtId="0" fontId="15" fillId="0" borderId="15" xfId="0" applyFont="1" applyBorder="1"/>
    <xf numFmtId="0" fontId="9" fillId="0" borderId="15" xfId="0" applyFont="1" applyBorder="1"/>
    <xf numFmtId="0" fontId="13" fillId="0" borderId="15" xfId="0" applyFont="1" applyBorder="1"/>
    <xf numFmtId="166" fontId="13" fillId="4" borderId="15" xfId="0" applyNumberFormat="1" applyFont="1" applyFill="1" applyBorder="1" applyProtection="1">
      <protection locked="0"/>
    </xf>
    <xf numFmtId="0" fontId="13" fillId="4" borderId="15" xfId="0" applyFont="1" applyFill="1" applyBorder="1" applyProtection="1">
      <protection locked="0"/>
    </xf>
    <xf numFmtId="166" fontId="15" fillId="0" borderId="15" xfId="0" applyNumberFormat="1" applyFont="1" applyBorder="1"/>
    <xf numFmtId="166" fontId="13" fillId="0" borderId="15" xfId="0" applyNumberFormat="1" applyFont="1" applyBorder="1"/>
    <xf numFmtId="167" fontId="15" fillId="0" borderId="15" xfId="0" applyNumberFormat="1" applyFont="1" applyBorder="1"/>
    <xf numFmtId="0" fontId="13" fillId="0" borderId="15" xfId="0" applyFont="1" applyBorder="1" applyAlignment="1">
      <alignment horizontal="right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3" fillId="4" borderId="46" xfId="1" applyFont="1" applyFill="1" applyBorder="1" applyAlignment="1" applyProtection="1">
      <alignment vertical="center"/>
      <protection hidden="1"/>
    </xf>
    <xf numFmtId="0" fontId="3" fillId="4" borderId="24" xfId="1" applyFont="1" applyFill="1" applyBorder="1" applyAlignment="1" applyProtection="1">
      <alignment vertical="center"/>
      <protection hidden="1"/>
    </xf>
    <xf numFmtId="0" fontId="10" fillId="0" borderId="0" xfId="1" applyFont="1" applyAlignment="1" applyProtection="1">
      <alignment horizontal="left"/>
      <protection hidden="1"/>
    </xf>
    <xf numFmtId="20" fontId="10" fillId="0" borderId="0" xfId="1" applyNumberFormat="1" applyFont="1" applyAlignment="1" applyProtection="1">
      <alignment horizontal="left" indent="2"/>
      <protection hidden="1"/>
    </xf>
    <xf numFmtId="20" fontId="10" fillId="0" borderId="0" xfId="1" applyNumberFormat="1" applyFont="1" applyProtection="1">
      <protection hidden="1"/>
    </xf>
    <xf numFmtId="0" fontId="10" fillId="0" borderId="0" xfId="1" applyFont="1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4" fontId="24" fillId="4" borderId="15" xfId="1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top" wrapText="1"/>
      <protection hidden="1"/>
    </xf>
    <xf numFmtId="0" fontId="11" fillId="0" borderId="0" xfId="0" applyFont="1" applyProtection="1">
      <protection hidden="1"/>
    </xf>
    <xf numFmtId="0" fontId="4" fillId="0" borderId="0" xfId="1" applyFont="1" applyAlignment="1" applyProtection="1">
      <alignment vertical="top" wrapText="1"/>
      <protection hidden="1"/>
    </xf>
    <xf numFmtId="0" fontId="26" fillId="0" borderId="44" xfId="1" applyFont="1" applyBorder="1" applyAlignment="1" applyProtection="1">
      <alignment vertical="top" wrapText="1"/>
      <protection hidden="1"/>
    </xf>
    <xf numFmtId="0" fontId="26" fillId="0" borderId="0" xfId="1" applyFont="1" applyAlignment="1" applyProtection="1">
      <alignment vertical="top" wrapText="1"/>
      <protection hidden="1"/>
    </xf>
    <xf numFmtId="0" fontId="4" fillId="0" borderId="0" xfId="1" applyFont="1" applyProtection="1">
      <protection hidden="1"/>
    </xf>
    <xf numFmtId="0" fontId="29" fillId="0" borderId="0" xfId="0" applyFont="1" applyProtection="1">
      <protection hidden="1"/>
    </xf>
    <xf numFmtId="14" fontId="0" fillId="0" borderId="0" xfId="0" applyNumberFormat="1"/>
    <xf numFmtId="0" fontId="26" fillId="0" borderId="0" xfId="1" applyFont="1" applyProtection="1">
      <protection hidden="1"/>
    </xf>
    <xf numFmtId="0" fontId="26" fillId="0" borderId="0" xfId="1" applyFont="1" applyAlignment="1" applyProtection="1">
      <alignment horizontal="center" vertical="center"/>
      <protection hidden="1"/>
    </xf>
    <xf numFmtId="20" fontId="26" fillId="4" borderId="15" xfId="1" applyNumberFormat="1" applyFont="1" applyFill="1" applyBorder="1" applyAlignment="1" applyProtection="1">
      <alignment horizontal="center"/>
      <protection locked="0" hidden="1"/>
    </xf>
    <xf numFmtId="4" fontId="26" fillId="0" borderId="0" xfId="1" applyNumberFormat="1" applyFont="1" applyAlignment="1" applyProtection="1">
      <alignment horizontal="right" vertical="center"/>
      <protection hidden="1"/>
    </xf>
    <xf numFmtId="4" fontId="26" fillId="0" borderId="0" xfId="1" applyNumberFormat="1" applyFont="1" applyAlignment="1" applyProtection="1">
      <alignment horizontal="center" vertical="center"/>
      <protection hidden="1"/>
    </xf>
    <xf numFmtId="164" fontId="26" fillId="0" borderId="0" xfId="1" applyNumberFormat="1" applyFont="1" applyProtection="1">
      <protection hidden="1"/>
    </xf>
    <xf numFmtId="49" fontId="26" fillId="0" borderId="0" xfId="1" applyNumberFormat="1" applyFont="1" applyAlignment="1" applyProtection="1">
      <alignment horizontal="center" vertical="center" wrapText="1"/>
      <protection hidden="1"/>
    </xf>
    <xf numFmtId="0" fontId="26" fillId="4" borderId="15" xfId="1" applyFont="1" applyFill="1" applyBorder="1" applyAlignment="1" applyProtection="1">
      <alignment horizontal="center"/>
      <protection locked="0" hidden="1"/>
    </xf>
    <xf numFmtId="0" fontId="26" fillId="0" borderId="0" xfId="1" applyFont="1" applyAlignment="1" applyProtection="1">
      <alignment horizontal="left"/>
      <protection hidden="1"/>
    </xf>
    <xf numFmtId="4" fontId="26" fillId="0" borderId="15" xfId="1" applyNumberFormat="1" applyFont="1" applyBorder="1" applyAlignment="1" applyProtection="1">
      <alignment horizontal="right" vertical="center"/>
      <protection hidden="1"/>
    </xf>
    <xf numFmtId="0" fontId="26" fillId="0" borderId="15" xfId="1" applyFont="1" applyBorder="1" applyProtection="1">
      <protection hidden="1"/>
    </xf>
    <xf numFmtId="0" fontId="26" fillId="0" borderId="15" xfId="1" applyFont="1" applyBorder="1" applyAlignment="1" applyProtection="1">
      <alignment horizontal="center" vertical="center"/>
      <protection hidden="1"/>
    </xf>
    <xf numFmtId="20" fontId="26" fillId="0" borderId="15" xfId="1" applyNumberFormat="1" applyFont="1" applyBorder="1" applyAlignment="1" applyProtection="1">
      <alignment horizontal="center" vertical="center"/>
      <protection hidden="1"/>
    </xf>
    <xf numFmtId="14" fontId="4" fillId="0" borderId="0" xfId="1" applyNumberFormat="1" applyFont="1" applyAlignment="1">
      <alignment horizontal="right"/>
    </xf>
    <xf numFmtId="14" fontId="4" fillId="0" borderId="0" xfId="1" applyNumberFormat="1" applyFont="1" applyAlignment="1">
      <alignment horizontal="right" vertical="center"/>
    </xf>
    <xf numFmtId="14" fontId="13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right"/>
    </xf>
    <xf numFmtId="166" fontId="4" fillId="0" borderId="0" xfId="1" applyNumberFormat="1" applyFont="1" applyAlignment="1">
      <alignment horizontal="right"/>
    </xf>
    <xf numFmtId="166" fontId="4" fillId="0" borderId="0" xfId="1" applyNumberFormat="1" applyFont="1" applyAlignment="1">
      <alignment horizontal="right" vertical="center"/>
    </xf>
    <xf numFmtId="166" fontId="9" fillId="0" borderId="15" xfId="0" applyNumberFormat="1" applyFont="1" applyBorder="1"/>
    <xf numFmtId="0" fontId="26" fillId="4" borderId="15" xfId="1" applyFont="1" applyFill="1" applyBorder="1" applyAlignment="1" applyProtection="1">
      <alignment horizontal="center" vertical="center"/>
      <protection locked="0" hidden="1"/>
    </xf>
    <xf numFmtId="172" fontId="4" fillId="0" borderId="0" xfId="1" applyNumberFormat="1" applyFont="1" applyAlignment="1" applyProtection="1">
      <alignment horizontal="center" vertical="center"/>
      <protection hidden="1"/>
    </xf>
    <xf numFmtId="0" fontId="26" fillId="0" borderId="21" xfId="1" applyFont="1" applyBorder="1" applyProtection="1">
      <protection hidden="1"/>
    </xf>
    <xf numFmtId="0" fontId="16" fillId="0" borderId="0" xfId="0" applyFont="1" applyAlignment="1">
      <alignment vertical="top" wrapText="1"/>
    </xf>
    <xf numFmtId="173" fontId="13" fillId="3" borderId="12" xfId="0" applyNumberFormat="1" applyFont="1" applyFill="1" applyBorder="1" applyProtection="1">
      <protection hidden="1"/>
    </xf>
    <xf numFmtId="0" fontId="13" fillId="0" borderId="0" xfId="0" applyFont="1" applyAlignment="1">
      <alignment horizontal="center"/>
    </xf>
    <xf numFmtId="174" fontId="32" fillId="0" borderId="0" xfId="0" applyNumberFormat="1" applyFont="1"/>
    <xf numFmtId="174" fontId="32" fillId="0" borderId="0" xfId="0" applyNumberFormat="1" applyFont="1" applyAlignment="1">
      <alignment horizontal="right"/>
    </xf>
    <xf numFmtId="174" fontId="13" fillId="0" borderId="0" xfId="0" applyNumberFormat="1" applyFont="1"/>
    <xf numFmtId="174" fontId="13" fillId="0" borderId="0" xfId="0" applyNumberFormat="1" applyFont="1" applyAlignment="1">
      <alignment horizontal="right"/>
    </xf>
    <xf numFmtId="0" fontId="32" fillId="0" borderId="0" xfId="0" applyFont="1"/>
    <xf numFmtId="166" fontId="32" fillId="0" borderId="0" xfId="0" applyNumberFormat="1" applyFont="1" applyAlignment="1">
      <alignment horizontal="right"/>
    </xf>
    <xf numFmtId="0" fontId="13" fillId="3" borderId="12" xfId="0" applyFont="1" applyFill="1" applyBorder="1" applyProtection="1">
      <protection hidden="1"/>
    </xf>
    <xf numFmtId="169" fontId="13" fillId="5" borderId="12" xfId="0" applyNumberFormat="1" applyFont="1" applyFill="1" applyBorder="1" applyProtection="1">
      <protection hidden="1"/>
    </xf>
    <xf numFmtId="166" fontId="9" fillId="5" borderId="0" xfId="0" applyNumberFormat="1" applyFont="1" applyFill="1" applyAlignment="1">
      <alignment horizontal="right"/>
    </xf>
    <xf numFmtId="166" fontId="13" fillId="5" borderId="0" xfId="0" applyNumberFormat="1" applyFont="1" applyFill="1" applyAlignment="1">
      <alignment horizontal="right"/>
    </xf>
    <xf numFmtId="174" fontId="13" fillId="5" borderId="0" xfId="0" applyNumberFormat="1" applyFont="1" applyFill="1" applyAlignment="1">
      <alignment horizontal="right"/>
    </xf>
    <xf numFmtId="165" fontId="9" fillId="0" borderId="0" xfId="0" applyNumberFormat="1" applyFont="1"/>
    <xf numFmtId="168" fontId="9" fillId="0" borderId="0" xfId="0" applyNumberFormat="1" applyFont="1"/>
    <xf numFmtId="177" fontId="13" fillId="3" borderId="12" xfId="0" applyNumberFormat="1" applyFont="1" applyFill="1" applyBorder="1" applyProtection="1">
      <protection hidden="1"/>
    </xf>
    <xf numFmtId="168" fontId="4" fillId="0" borderId="0" xfId="1" applyNumberFormat="1" applyFont="1" applyAlignment="1" applyProtection="1">
      <alignment vertical="center"/>
      <protection hidden="1"/>
    </xf>
    <xf numFmtId="4" fontId="15" fillId="0" borderId="12" xfId="0" applyNumberFormat="1" applyFont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173" fontId="13" fillId="2" borderId="12" xfId="0" applyNumberFormat="1" applyFont="1" applyFill="1" applyBorder="1" applyAlignment="1">
      <alignment horizontal="center"/>
    </xf>
    <xf numFmtId="0" fontId="13" fillId="2" borderId="12" xfId="0" applyFont="1" applyFill="1" applyBorder="1"/>
    <xf numFmtId="0" fontId="15" fillId="0" borderId="3" xfId="0" applyFont="1" applyBorder="1" applyAlignment="1">
      <alignment horizontal="center"/>
    </xf>
    <xf numFmtId="14" fontId="26" fillId="0" borderId="21" xfId="1" applyNumberFormat="1" applyFont="1" applyBorder="1" applyAlignment="1" applyProtection="1">
      <alignment horizontal="center"/>
      <protection hidden="1"/>
    </xf>
    <xf numFmtId="0" fontId="0" fillId="5" borderId="0" xfId="0" applyFill="1"/>
    <xf numFmtId="166" fontId="0" fillId="0" borderId="0" xfId="0" applyNumberFormat="1"/>
    <xf numFmtId="4" fontId="26" fillId="0" borderId="0" xfId="1" applyNumberFormat="1" applyFont="1" applyAlignment="1" applyProtection="1">
      <alignment horizontal="left" vertical="center"/>
      <protection hidden="1"/>
    </xf>
    <xf numFmtId="0" fontId="9" fillId="0" borderId="15" xfId="0" applyFont="1" applyBorder="1" applyAlignment="1">
      <alignment horizontal="center"/>
    </xf>
    <xf numFmtId="4" fontId="26" fillId="0" borderId="15" xfId="1" applyNumberFormat="1" applyFont="1" applyBorder="1" applyAlignment="1" applyProtection="1">
      <alignment horizontal="center" vertical="center" wrapText="1"/>
      <protection hidden="1"/>
    </xf>
    <xf numFmtId="171" fontId="26" fillId="0" borderId="0" xfId="1" applyNumberFormat="1" applyFont="1" applyAlignment="1" applyProtection="1">
      <alignment horizontal="right" vertical="center"/>
      <protection hidden="1"/>
    </xf>
    <xf numFmtId="4" fontId="26" fillId="4" borderId="23" xfId="1" applyNumberFormat="1" applyFont="1" applyFill="1" applyBorder="1" applyAlignment="1" applyProtection="1">
      <alignment horizontal="right" vertical="center" shrinkToFit="1"/>
      <protection locked="0" hidden="1"/>
    </xf>
    <xf numFmtId="4" fontId="26" fillId="0" borderId="15" xfId="1" applyNumberFormat="1" applyFont="1" applyBorder="1" applyAlignment="1" applyProtection="1">
      <alignment vertical="center" shrinkToFit="1"/>
      <protection hidden="1"/>
    </xf>
    <xf numFmtId="0" fontId="9" fillId="0" borderId="15" xfId="0" applyFont="1" applyBorder="1" applyAlignment="1">
      <alignment horizontal="center" vertical="center"/>
    </xf>
    <xf numFmtId="0" fontId="2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164" fontId="4" fillId="0" borderId="0" xfId="1" applyNumberFormat="1" applyFont="1"/>
    <xf numFmtId="0" fontId="13" fillId="2" borderId="3" xfId="0" applyFont="1" applyFill="1" applyBorder="1" applyAlignment="1">
      <alignment horizontal="center"/>
    </xf>
    <xf numFmtId="0" fontId="26" fillId="0" borderId="8" xfId="1" applyFont="1" applyBorder="1" applyProtection="1">
      <protection hidden="1"/>
    </xf>
    <xf numFmtId="168" fontId="4" fillId="0" borderId="8" xfId="1" applyNumberFormat="1" applyFont="1" applyBorder="1" applyAlignment="1" applyProtection="1">
      <alignment vertical="center"/>
      <protection hidden="1"/>
    </xf>
    <xf numFmtId="4" fontId="26" fillId="0" borderId="8" xfId="1" applyNumberFormat="1" applyFont="1" applyBorder="1" applyAlignment="1" applyProtection="1">
      <alignment horizontal="center" vertical="center"/>
      <protection hidden="1"/>
    </xf>
    <xf numFmtId="172" fontId="4" fillId="0" borderId="8" xfId="1" applyNumberFormat="1" applyFont="1" applyBorder="1" applyAlignment="1" applyProtection="1">
      <alignment horizontal="center" vertical="center"/>
      <protection hidden="1"/>
    </xf>
    <xf numFmtId="0" fontId="0" fillId="0" borderId="49" xfId="0" applyBorder="1"/>
    <xf numFmtId="0" fontId="6" fillId="0" borderId="42" xfId="1" applyFont="1" applyBorder="1" applyProtection="1">
      <protection hidden="1"/>
    </xf>
    <xf numFmtId="0" fontId="4" fillId="0" borderId="0" xfId="1" applyFont="1" applyAlignment="1">
      <alignment vertical="center"/>
    </xf>
    <xf numFmtId="0" fontId="26" fillId="0" borderId="44" xfId="1" applyFont="1" applyBorder="1" applyAlignment="1" applyProtection="1">
      <alignment horizontal="left"/>
      <protection hidden="1"/>
    </xf>
    <xf numFmtId="0" fontId="26" fillId="0" borderId="44" xfId="1" applyFont="1" applyBorder="1" applyProtection="1">
      <protection hidden="1"/>
    </xf>
    <xf numFmtId="14" fontId="26" fillId="0" borderId="44" xfId="1" applyNumberFormat="1" applyFont="1" applyBorder="1" applyAlignment="1" applyProtection="1">
      <alignment horizontal="center"/>
      <protection hidden="1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20" fontId="10" fillId="0" borderId="0" xfId="1" applyNumberFormat="1" applyFont="1" applyAlignment="1">
      <alignment horizontal="left" vertical="center"/>
    </xf>
    <xf numFmtId="20" fontId="10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4" fontId="26" fillId="0" borderId="15" xfId="1" applyNumberFormat="1" applyFont="1" applyBorder="1" applyAlignment="1" applyProtection="1">
      <alignment horizontal="right" vertical="center" shrinkToFit="1"/>
      <protection hidden="1"/>
    </xf>
    <xf numFmtId="0" fontId="13" fillId="0" borderId="0" xfId="0" applyFont="1" applyAlignment="1">
      <alignment vertical="center" wrapText="1"/>
    </xf>
    <xf numFmtId="168" fontId="4" fillId="0" borderId="0" xfId="1" applyNumberFormat="1" applyFont="1" applyAlignment="1" applyProtection="1">
      <alignment horizontal="left" vertical="center"/>
      <protection hidden="1"/>
    </xf>
    <xf numFmtId="0" fontId="13" fillId="2" borderId="1" xfId="0" applyFont="1" applyFill="1" applyBorder="1" applyAlignment="1">
      <alignment horizontal="center"/>
    </xf>
    <xf numFmtId="0" fontId="13" fillId="3" borderId="1" xfId="0" applyFont="1" applyFill="1" applyBorder="1" applyProtection="1">
      <protection hidden="1"/>
    </xf>
    <xf numFmtId="176" fontId="0" fillId="0" borderId="0" xfId="0" applyNumberFormat="1"/>
    <xf numFmtId="169" fontId="13" fillId="3" borderId="3" xfId="0" applyNumberFormat="1" applyFont="1" applyFill="1" applyBorder="1" applyProtection="1">
      <protection hidden="1"/>
    </xf>
    <xf numFmtId="0" fontId="13" fillId="0" borderId="15" xfId="0" applyFont="1" applyBorder="1" applyAlignment="1">
      <alignment horizontal="left" vertical="center"/>
    </xf>
    <xf numFmtId="0" fontId="13" fillId="2" borderId="15" xfId="0" applyFont="1" applyFill="1" applyBorder="1" applyAlignment="1">
      <alignment horizontal="center" vertical="center"/>
    </xf>
    <xf numFmtId="0" fontId="13" fillId="4" borderId="15" xfId="0" applyFont="1" applyFill="1" applyBorder="1" applyAlignment="1" applyProtection="1">
      <alignment horizontal="center" vertical="center"/>
      <protection locked="0"/>
    </xf>
    <xf numFmtId="166" fontId="9" fillId="0" borderId="0" xfId="0" applyNumberFormat="1" applyFont="1"/>
    <xf numFmtId="4" fontId="26" fillId="0" borderId="15" xfId="1" applyNumberFormat="1" applyFont="1" applyBorder="1" applyAlignment="1" applyProtection="1">
      <alignment horizontal="center" vertical="center"/>
      <protection hidden="1"/>
    </xf>
    <xf numFmtId="0" fontId="26" fillId="4" borderId="15" xfId="1" applyFont="1" applyFill="1" applyBorder="1" applyAlignment="1" applyProtection="1">
      <alignment horizontal="right"/>
      <protection locked="0" hidden="1"/>
    </xf>
    <xf numFmtId="172" fontId="26" fillId="0" borderId="15" xfId="1" applyNumberFormat="1" applyFont="1" applyBorder="1" applyAlignment="1" applyProtection="1">
      <alignment vertical="center" shrinkToFit="1"/>
      <protection hidden="1"/>
    </xf>
    <xf numFmtId="0" fontId="34" fillId="0" borderId="15" xfId="0" applyFont="1" applyBorder="1"/>
    <xf numFmtId="166" fontId="9" fillId="4" borderId="15" xfId="0" applyNumberFormat="1" applyFont="1" applyFill="1" applyBorder="1" applyProtection="1">
      <protection locked="0"/>
    </xf>
    <xf numFmtId="166" fontId="34" fillId="0" borderId="15" xfId="0" applyNumberFormat="1" applyFont="1" applyBorder="1"/>
    <xf numFmtId="174" fontId="9" fillId="4" borderId="15" xfId="0" applyNumberFormat="1" applyFont="1" applyFill="1" applyBorder="1" applyProtection="1">
      <protection locked="0"/>
    </xf>
    <xf numFmtId="167" fontId="34" fillId="0" borderId="15" xfId="0" applyNumberFormat="1" applyFont="1" applyBorder="1"/>
    <xf numFmtId="0" fontId="9" fillId="4" borderId="15" xfId="0" applyFont="1" applyFill="1" applyBorder="1" applyAlignment="1" applyProtection="1">
      <alignment horizontal="right"/>
      <protection locked="0"/>
    </xf>
    <xf numFmtId="0" fontId="13" fillId="0" borderId="0" xfId="0" applyFont="1" applyAlignment="1" applyProtection="1">
      <alignment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0" fillId="0" borderId="0" xfId="0" applyAlignment="1">
      <alignment vertical="top"/>
    </xf>
    <xf numFmtId="0" fontId="9" fillId="0" borderId="0" xfId="0" applyFont="1" applyAlignment="1" applyProtection="1">
      <alignment vertical="top"/>
      <protection hidden="1"/>
    </xf>
    <xf numFmtId="0" fontId="6" fillId="0" borderId="0" xfId="1" applyFont="1" applyAlignment="1">
      <alignment vertical="center" wrapText="1"/>
    </xf>
    <xf numFmtId="0" fontId="24" fillId="4" borderId="23" xfId="1" applyFont="1" applyFill="1" applyBorder="1" applyAlignment="1" applyProtection="1">
      <alignment horizontal="center" vertical="center"/>
      <protection locked="0"/>
    </xf>
    <xf numFmtId="179" fontId="24" fillId="4" borderId="15" xfId="1" applyNumberFormat="1" applyFont="1" applyFill="1" applyBorder="1" applyAlignment="1" applyProtection="1">
      <alignment vertical="center"/>
      <protection locked="0"/>
    </xf>
    <xf numFmtId="179" fontId="24" fillId="4" borderId="15" xfId="1" applyNumberFormat="1" applyFont="1" applyFill="1" applyBorder="1" applyAlignment="1" applyProtection="1">
      <alignment vertical="center" shrinkToFit="1"/>
      <protection locked="0"/>
    </xf>
    <xf numFmtId="0" fontId="22" fillId="0" borderId="8" xfId="1" applyFont="1" applyBorder="1" applyAlignment="1">
      <alignment vertical="center"/>
    </xf>
    <xf numFmtId="0" fontId="31" fillId="0" borderId="0" xfId="1" applyFont="1" applyAlignment="1">
      <alignment vertical="top" wrapText="1"/>
    </xf>
    <xf numFmtId="4" fontId="31" fillId="0" borderId="15" xfId="1" applyNumberFormat="1" applyFont="1" applyBorder="1" applyAlignment="1" applyProtection="1">
      <alignment vertical="center" shrinkToFit="1"/>
      <protection hidden="1"/>
    </xf>
    <xf numFmtId="4" fontId="9" fillId="0" borderId="24" xfId="0" applyNumberFormat="1" applyFont="1" applyBorder="1" applyAlignment="1">
      <alignment vertical="center"/>
    </xf>
    <xf numFmtId="14" fontId="13" fillId="0" borderId="15" xfId="0" applyNumberFormat="1" applyFont="1" applyBorder="1" applyAlignment="1">
      <alignment horizontal="right" vertical="center" shrinkToFit="1"/>
    </xf>
    <xf numFmtId="179" fontId="0" fillId="0" borderId="0" xfId="0" applyNumberFormat="1"/>
    <xf numFmtId="175" fontId="13" fillId="3" borderId="12" xfId="0" applyNumberFormat="1" applyFont="1" applyFill="1" applyBorder="1" applyProtection="1">
      <protection hidden="1"/>
    </xf>
    <xf numFmtId="14" fontId="26" fillId="4" borderId="15" xfId="1" applyNumberFormat="1" applyFont="1" applyFill="1" applyBorder="1" applyAlignment="1" applyProtection="1">
      <alignment horizontal="center"/>
      <protection locked="0"/>
    </xf>
    <xf numFmtId="20" fontId="26" fillId="4" borderId="15" xfId="1" applyNumberFormat="1" applyFont="1" applyFill="1" applyBorder="1" applyProtection="1">
      <protection locked="0"/>
    </xf>
    <xf numFmtId="0" fontId="13" fillId="6" borderId="0" xfId="0" applyFont="1" applyFill="1"/>
    <xf numFmtId="0" fontId="33" fillId="0" borderId="0" xfId="1" applyFont="1" applyAlignment="1" applyProtection="1">
      <alignment horizontal="center" vertical="center" wrapText="1"/>
      <protection hidden="1"/>
    </xf>
    <xf numFmtId="0" fontId="24" fillId="0" borderId="24" xfId="1" applyFont="1" applyBorder="1" applyAlignment="1" applyProtection="1">
      <alignment vertical="center"/>
      <protection hidden="1"/>
    </xf>
    <xf numFmtId="0" fontId="24" fillId="0" borderId="49" xfId="1" applyFont="1" applyBorder="1" applyAlignment="1" applyProtection="1">
      <alignment vertical="center"/>
      <protection hidden="1"/>
    </xf>
    <xf numFmtId="0" fontId="24" fillId="4" borderId="15" xfId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 wrapText="1"/>
      <protection hidden="1"/>
    </xf>
    <xf numFmtId="0" fontId="36" fillId="0" borderId="0" xfId="0" applyFont="1" applyProtection="1">
      <protection hidden="1"/>
    </xf>
    <xf numFmtId="0" fontId="13" fillId="0" borderId="15" xfId="0" applyFont="1" applyBorder="1" applyAlignment="1">
      <alignment vertical="center"/>
    </xf>
    <xf numFmtId="4" fontId="26" fillId="0" borderId="44" xfId="1" applyNumberFormat="1" applyFont="1" applyBorder="1" applyAlignment="1" applyProtection="1">
      <alignment horizontal="right" vertical="center"/>
      <protection hidden="1"/>
    </xf>
    <xf numFmtId="4" fontId="26" fillId="0" borderId="46" xfId="1" applyNumberFormat="1" applyFont="1" applyBorder="1" applyAlignment="1" applyProtection="1">
      <alignment horizontal="right" vertical="center"/>
      <protection hidden="1"/>
    </xf>
    <xf numFmtId="4" fontId="26" fillId="0" borderId="23" xfId="1" applyNumberFormat="1" applyFont="1" applyBorder="1" applyAlignment="1" applyProtection="1">
      <alignment horizontal="right" vertical="center"/>
      <protection hidden="1"/>
    </xf>
    <xf numFmtId="4" fontId="26" fillId="0" borderId="24" xfId="1" applyNumberFormat="1" applyFont="1" applyBorder="1" applyAlignment="1" applyProtection="1">
      <alignment horizontal="right" vertical="center"/>
      <protection hidden="1"/>
    </xf>
    <xf numFmtId="0" fontId="26" fillId="4" borderId="0" xfId="1" applyFont="1" applyFill="1" applyAlignment="1" applyProtection="1">
      <alignment horizontal="left" vertical="center"/>
      <protection locked="0"/>
    </xf>
    <xf numFmtId="171" fontId="26" fillId="0" borderId="0" xfId="1" applyNumberFormat="1" applyFont="1" applyAlignment="1" applyProtection="1">
      <alignment horizontal="center" vertical="center" shrinkToFit="1"/>
      <protection hidden="1"/>
    </xf>
    <xf numFmtId="171" fontId="26" fillId="0" borderId="42" xfId="1" applyNumberFormat="1" applyFont="1" applyBorder="1" applyAlignment="1" applyProtection="1">
      <alignment horizontal="center" vertical="center" shrinkToFit="1"/>
      <protection hidden="1"/>
    </xf>
    <xf numFmtId="4" fontId="4" fillId="0" borderId="15" xfId="1" applyNumberFormat="1" applyFont="1" applyBorder="1" applyAlignment="1" applyProtection="1">
      <alignment vertical="center"/>
      <protection hidden="1"/>
    </xf>
    <xf numFmtId="4" fontId="10" fillId="0" borderId="15" xfId="1" applyNumberFormat="1" applyFont="1" applyBorder="1" applyAlignment="1" applyProtection="1">
      <alignment horizontal="right" vertical="center"/>
      <protection hidden="1"/>
    </xf>
    <xf numFmtId="4" fontId="26" fillId="0" borderId="44" xfId="1" applyNumberFormat="1" applyFont="1" applyBorder="1" applyAlignment="1" applyProtection="1">
      <alignment horizontal="center" vertical="center"/>
      <protection hidden="1"/>
    </xf>
    <xf numFmtId="4" fontId="6" fillId="0" borderId="0" xfId="1" applyNumberFormat="1" applyFont="1" applyAlignment="1" applyProtection="1">
      <alignment horizontal="center" vertical="center"/>
      <protection hidden="1"/>
    </xf>
    <xf numFmtId="180" fontId="26" fillId="0" borderId="15" xfId="1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14" fontId="11" fillId="0" borderId="0" xfId="0" applyNumberFormat="1" applyFont="1"/>
    <xf numFmtId="14" fontId="9" fillId="0" borderId="0" xfId="0" applyNumberFormat="1" applyFont="1"/>
    <xf numFmtId="0" fontId="11" fillId="0" borderId="0" xfId="0" applyFont="1" applyAlignment="1" applyProtection="1">
      <alignment vertical="center"/>
      <protection hidden="1"/>
    </xf>
    <xf numFmtId="2" fontId="26" fillId="4" borderId="0" xfId="1" applyNumberFormat="1" applyFont="1" applyFill="1" applyAlignment="1" applyProtection="1">
      <alignment horizontal="center" vertical="center"/>
      <protection hidden="1"/>
    </xf>
    <xf numFmtId="20" fontId="26" fillId="4" borderId="0" xfId="1" applyNumberFormat="1" applyFont="1" applyFill="1" applyAlignment="1" applyProtection="1">
      <alignment horizontal="center"/>
      <protection hidden="1"/>
    </xf>
    <xf numFmtId="0" fontId="0" fillId="0" borderId="18" xfId="0" applyBorder="1" applyProtection="1">
      <protection hidden="1"/>
    </xf>
    <xf numFmtId="180" fontId="31" fillId="0" borderId="15" xfId="1" applyNumberFormat="1" applyFont="1" applyBorder="1" applyAlignment="1" applyProtection="1">
      <alignment horizontal="center" vertical="center" shrinkToFit="1"/>
      <protection hidden="1"/>
    </xf>
    <xf numFmtId="0" fontId="38" fillId="0" borderId="0" xfId="0" applyFont="1" applyAlignment="1" applyProtection="1">
      <alignment wrapText="1"/>
      <protection hidden="1"/>
    </xf>
    <xf numFmtId="0" fontId="35" fillId="0" borderId="0" xfId="0" applyFont="1" applyAlignment="1">
      <alignment vertical="center"/>
    </xf>
    <xf numFmtId="0" fontId="38" fillId="0" borderId="0" xfId="1" applyFont="1" applyAlignment="1">
      <alignment vertical="center"/>
    </xf>
    <xf numFmtId="0" fontId="26" fillId="4" borderId="15" xfId="1" applyFont="1" applyFill="1" applyBorder="1" applyAlignment="1" applyProtection="1">
      <alignment horizontal="center" vertical="center" shrinkToFit="1"/>
      <protection locked="0" hidden="1"/>
    </xf>
    <xf numFmtId="0" fontId="11" fillId="0" borderId="0" xfId="0" applyFont="1" applyAlignment="1" applyProtection="1">
      <alignment horizontal="center" vertical="top" wrapText="1"/>
      <protection hidden="1"/>
    </xf>
    <xf numFmtId="0" fontId="11" fillId="0" borderId="0" xfId="0" applyFont="1" applyAlignment="1" applyProtection="1">
      <alignment horizontal="center" vertical="top"/>
      <protection hidden="1"/>
    </xf>
    <xf numFmtId="0" fontId="24" fillId="4" borderId="23" xfId="1" applyFont="1" applyFill="1" applyBorder="1" applyAlignment="1" applyProtection="1">
      <alignment horizontal="left" vertical="center" shrinkToFit="1"/>
      <protection locked="0"/>
    </xf>
    <xf numFmtId="0" fontId="24" fillId="4" borderId="46" xfId="1" applyFont="1" applyFill="1" applyBorder="1" applyAlignment="1" applyProtection="1">
      <alignment horizontal="left" vertical="center" shrinkToFit="1"/>
      <protection locked="0"/>
    </xf>
    <xf numFmtId="0" fontId="24" fillId="4" borderId="24" xfId="1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/>
      <protection hidden="1"/>
    </xf>
    <xf numFmtId="14" fontId="24" fillId="4" borderId="23" xfId="1" applyNumberFormat="1" applyFont="1" applyFill="1" applyBorder="1" applyAlignment="1" applyProtection="1">
      <alignment horizontal="center" vertical="center"/>
      <protection locked="0"/>
    </xf>
    <xf numFmtId="0" fontId="24" fillId="4" borderId="24" xfId="1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 applyProtection="1">
      <alignment horizontal="center" vertical="center"/>
      <protection hidden="1"/>
    </xf>
    <xf numFmtId="0" fontId="24" fillId="4" borderId="23" xfId="1" applyFont="1" applyFill="1" applyBorder="1" applyAlignment="1" applyProtection="1">
      <alignment horizontal="left" vertical="center"/>
      <protection locked="0"/>
    </xf>
    <xf numFmtId="0" fontId="24" fillId="4" borderId="46" xfId="1" applyFont="1" applyFill="1" applyBorder="1" applyAlignment="1" applyProtection="1">
      <alignment horizontal="left" vertical="center"/>
      <protection locked="0"/>
    </xf>
    <xf numFmtId="0" fontId="24" fillId="4" borderId="24" xfId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24" fillId="4" borderId="23" xfId="1" applyFont="1" applyFill="1" applyBorder="1" applyAlignment="1" applyProtection="1">
      <alignment horizontal="left" vertical="center"/>
      <protection locked="0" hidden="1"/>
    </xf>
    <xf numFmtId="0" fontId="24" fillId="4" borderId="46" xfId="1" applyFont="1" applyFill="1" applyBorder="1" applyAlignment="1" applyProtection="1">
      <alignment horizontal="left" vertical="center"/>
      <protection locked="0" hidden="1"/>
    </xf>
    <xf numFmtId="0" fontId="24" fillId="4" borderId="24" xfId="1" applyFont="1" applyFill="1" applyBorder="1" applyAlignment="1" applyProtection="1">
      <alignment horizontal="left" vertical="center"/>
      <protection locked="0" hidden="1"/>
    </xf>
    <xf numFmtId="0" fontId="9" fillId="0" borderId="0" xfId="0" applyFont="1" applyAlignment="1" applyProtection="1">
      <alignment horizontal="left" vertical="center" shrinkToFi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/>
      <protection hidden="1"/>
    </xf>
    <xf numFmtId="0" fontId="27" fillId="4" borderId="23" xfId="1" applyFont="1" applyFill="1" applyBorder="1" applyAlignment="1" applyProtection="1">
      <alignment horizontal="center" vertical="center"/>
      <protection locked="0" hidden="1"/>
    </xf>
    <xf numFmtId="0" fontId="27" fillId="4" borderId="24" xfId="1" applyFont="1" applyFill="1" applyBorder="1" applyAlignment="1" applyProtection="1">
      <alignment horizontal="center" vertical="center"/>
      <protection locked="0" hidden="1"/>
    </xf>
    <xf numFmtId="0" fontId="26" fillId="0" borderId="44" xfId="1" applyFont="1" applyBorder="1" applyAlignment="1" applyProtection="1">
      <alignment horizontal="center" vertical="top"/>
      <protection hidden="1"/>
    </xf>
    <xf numFmtId="14" fontId="3" fillId="4" borderId="23" xfId="1" applyNumberFormat="1" applyFont="1" applyFill="1" applyBorder="1" applyAlignment="1" applyProtection="1">
      <alignment horizontal="center" vertical="center"/>
      <protection locked="0"/>
    </xf>
    <xf numFmtId="0" fontId="3" fillId="4" borderId="46" xfId="1" applyFont="1" applyFill="1" applyBorder="1" applyAlignment="1" applyProtection="1">
      <alignment horizontal="center" vertical="center"/>
      <protection locked="0"/>
    </xf>
    <xf numFmtId="0" fontId="3" fillId="4" borderId="24" xfId="1" applyFont="1" applyFill="1" applyBorder="1" applyAlignment="1" applyProtection="1">
      <alignment horizontal="center" vertical="center"/>
      <protection locked="0"/>
    </xf>
    <xf numFmtId="0" fontId="24" fillId="0" borderId="23" xfId="1" applyFont="1" applyBorder="1" applyAlignment="1">
      <alignment horizontal="left" vertical="center"/>
    </xf>
    <xf numFmtId="0" fontId="24" fillId="0" borderId="46" xfId="1" applyFont="1" applyBorder="1" applyAlignment="1">
      <alignment horizontal="left" vertical="center"/>
    </xf>
    <xf numFmtId="0" fontId="24" fillId="0" borderId="24" xfId="1" applyFont="1" applyBorder="1" applyAlignment="1">
      <alignment horizontal="left" vertical="center"/>
    </xf>
    <xf numFmtId="0" fontId="11" fillId="0" borderId="42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47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11" fillId="0" borderId="0" xfId="0" applyFont="1" applyAlignment="1" applyProtection="1">
      <alignment horizontal="left" vertical="top" wrapText="1"/>
      <protection hidden="1"/>
    </xf>
    <xf numFmtId="0" fontId="4" fillId="0" borderId="44" xfId="1" applyFont="1" applyBorder="1" applyAlignment="1" applyProtection="1">
      <alignment horizontal="center"/>
      <protection hidden="1"/>
    </xf>
    <xf numFmtId="0" fontId="0" fillId="0" borderId="3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8" xfId="0" applyBorder="1" applyAlignment="1">
      <alignment horizontal="center"/>
    </xf>
    <xf numFmtId="0" fontId="25" fillId="0" borderId="44" xfId="1" applyFont="1" applyBorder="1" applyAlignment="1" applyProtection="1">
      <alignment horizontal="center" vertical="top"/>
      <protection hidden="1"/>
    </xf>
    <xf numFmtId="0" fontId="0" fillId="0" borderId="47" xfId="0" applyBorder="1" applyAlignment="1" applyProtection="1">
      <alignment horizontal="left" vertical="center"/>
      <protection hidden="1"/>
    </xf>
    <xf numFmtId="170" fontId="0" fillId="0" borderId="0" xfId="0" applyNumberFormat="1" applyAlignment="1" applyProtection="1">
      <alignment horizontal="center"/>
      <protection hidden="1"/>
    </xf>
    <xf numFmtId="0" fontId="39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right"/>
    </xf>
    <xf numFmtId="0" fontId="9" fillId="0" borderId="0" xfId="0" applyFont="1" applyAlignment="1" applyProtection="1">
      <alignment horizontal="center" vertical="top"/>
      <protection hidden="1"/>
    </xf>
    <xf numFmtId="0" fontId="24" fillId="4" borderId="23" xfId="1" applyFont="1" applyFill="1" applyBorder="1" applyAlignment="1" applyProtection="1">
      <alignment horizontal="center" vertical="center"/>
      <protection locked="0"/>
    </xf>
    <xf numFmtId="0" fontId="24" fillId="4" borderId="46" xfId="1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hidden="1"/>
    </xf>
    <xf numFmtId="0" fontId="13" fillId="0" borderId="44" xfId="0" applyFont="1" applyBorder="1" applyAlignment="1" applyProtection="1">
      <alignment horizontal="center" vertical="center"/>
      <protection hidden="1"/>
    </xf>
    <xf numFmtId="14" fontId="24" fillId="4" borderId="23" xfId="1" applyNumberFormat="1" applyFont="1" applyFill="1" applyBorder="1" applyAlignment="1" applyProtection="1">
      <alignment horizontal="right" vertical="center"/>
      <protection locked="0"/>
    </xf>
    <xf numFmtId="0" fontId="24" fillId="4" borderId="46" xfId="1" applyFont="1" applyFill="1" applyBorder="1" applyAlignment="1" applyProtection="1">
      <alignment horizontal="right" vertical="center"/>
      <protection locked="0"/>
    </xf>
    <xf numFmtId="0" fontId="24" fillId="4" borderId="24" xfId="1" applyFont="1" applyFill="1" applyBorder="1" applyAlignment="1" applyProtection="1">
      <alignment horizontal="right" vertical="center"/>
      <protection locked="0"/>
    </xf>
    <xf numFmtId="0" fontId="16" fillId="0" borderId="44" xfId="0" applyFont="1" applyBorder="1" applyAlignment="1" applyProtection="1">
      <alignment horizontal="center" vertical="center"/>
      <protection hidden="1"/>
    </xf>
    <xf numFmtId="4" fontId="24" fillId="4" borderId="23" xfId="1" applyNumberFormat="1" applyFont="1" applyFill="1" applyBorder="1" applyAlignment="1" applyProtection="1">
      <alignment horizontal="right" vertical="center"/>
      <protection locked="0"/>
    </xf>
    <xf numFmtId="4" fontId="24" fillId="4" borderId="24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15" fillId="0" borderId="15" xfId="0" applyFont="1" applyBorder="1" applyAlignment="1">
      <alignment horizontal="center"/>
    </xf>
    <xf numFmtId="0" fontId="4" fillId="0" borderId="6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165" fontId="4" fillId="4" borderId="25" xfId="1" applyNumberFormat="1" applyFont="1" applyFill="1" applyBorder="1" applyAlignment="1" applyProtection="1">
      <alignment horizontal="center" vertical="center" wrapText="1"/>
      <protection locked="0"/>
    </xf>
    <xf numFmtId="165" fontId="4" fillId="4" borderId="31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23" xfId="1" applyFont="1" applyFill="1" applyBorder="1" applyAlignment="1" applyProtection="1">
      <alignment horizontal="left"/>
      <protection locked="0"/>
    </xf>
    <xf numFmtId="0" fontId="4" fillId="4" borderId="24" xfId="1" applyFont="1" applyFill="1" applyBorder="1" applyAlignment="1" applyProtection="1">
      <alignment horizontal="left"/>
      <protection locked="0"/>
    </xf>
    <xf numFmtId="49" fontId="4" fillId="4" borderId="21" xfId="1" applyNumberFormat="1" applyFont="1" applyFill="1" applyBorder="1" applyAlignment="1" applyProtection="1">
      <alignment horizontal="center" vertical="center" wrapText="1"/>
      <protection locked="0"/>
    </xf>
    <xf numFmtId="49" fontId="4" fillId="4" borderId="16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21" xfId="1" applyFont="1" applyFill="1" applyBorder="1" applyAlignment="1" applyProtection="1">
      <alignment horizontal="center" vertical="center"/>
      <protection locked="0"/>
    </xf>
    <xf numFmtId="0" fontId="4" fillId="4" borderId="16" xfId="1" applyFont="1" applyFill="1" applyBorder="1" applyAlignment="1" applyProtection="1">
      <alignment horizontal="center" vertical="center"/>
      <protection locked="0"/>
    </xf>
    <xf numFmtId="4" fontId="4" fillId="4" borderId="21" xfId="1" applyNumberFormat="1" applyFont="1" applyFill="1" applyBorder="1" applyAlignment="1" applyProtection="1">
      <alignment horizontal="right" vertical="center"/>
      <protection locked="0"/>
    </xf>
    <xf numFmtId="4" fontId="4" fillId="4" borderId="16" xfId="1" applyNumberFormat="1" applyFont="1" applyFill="1" applyBorder="1" applyAlignment="1" applyProtection="1">
      <alignment horizontal="right" vertical="center"/>
      <protection locked="0"/>
    </xf>
    <xf numFmtId="2" fontId="4" fillId="0" borderId="15" xfId="1" applyNumberFormat="1" applyFont="1" applyBorder="1" applyAlignment="1" applyProtection="1">
      <alignment horizontal="right" vertical="center"/>
      <protection hidden="1"/>
    </xf>
    <xf numFmtId="4" fontId="4" fillId="0" borderId="15" xfId="1" applyNumberFormat="1" applyFont="1" applyBorder="1" applyAlignment="1">
      <alignment horizontal="right" vertical="center"/>
    </xf>
    <xf numFmtId="4" fontId="4" fillId="0" borderId="19" xfId="1" applyNumberFormat="1" applyFont="1" applyBorder="1" applyAlignment="1">
      <alignment horizontal="right" vertical="center"/>
    </xf>
    <xf numFmtId="4" fontId="4" fillId="4" borderId="22" xfId="1" applyNumberFormat="1" applyFont="1" applyFill="1" applyBorder="1" applyAlignment="1" applyProtection="1">
      <alignment horizontal="right" vertical="center"/>
      <protection locked="0"/>
    </xf>
    <xf numFmtId="4" fontId="4" fillId="0" borderId="21" xfId="1" applyNumberFormat="1" applyFont="1" applyBorder="1" applyAlignment="1" applyProtection="1">
      <alignment horizontal="right" vertical="center"/>
      <protection hidden="1"/>
    </xf>
    <xf numFmtId="4" fontId="4" fillId="0" borderId="16" xfId="1" applyNumberFormat="1" applyFont="1" applyBorder="1" applyAlignment="1" applyProtection="1">
      <alignment horizontal="right" vertical="center"/>
      <protection hidden="1"/>
    </xf>
    <xf numFmtId="165" fontId="4" fillId="4" borderId="40" xfId="1" applyNumberFormat="1" applyFont="1" applyFill="1" applyBorder="1" applyAlignment="1" applyProtection="1">
      <alignment horizontal="center" vertical="center" wrapText="1"/>
      <protection locked="0"/>
    </xf>
    <xf numFmtId="4" fontId="4" fillId="4" borderId="15" xfId="1" applyNumberFormat="1" applyFont="1" applyFill="1" applyBorder="1" applyAlignment="1" applyProtection="1">
      <alignment horizontal="right" vertical="center"/>
      <protection locked="0"/>
    </xf>
    <xf numFmtId="164" fontId="4" fillId="0" borderId="29" xfId="1" applyNumberFormat="1" applyFont="1" applyBorder="1" applyProtection="1">
      <protection hidden="1"/>
    </xf>
    <xf numFmtId="164" fontId="4" fillId="0" borderId="32" xfId="1" applyNumberFormat="1" applyFont="1" applyBorder="1" applyProtection="1">
      <protection hidden="1"/>
    </xf>
    <xf numFmtId="165" fontId="4" fillId="4" borderId="35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33" xfId="1" applyFont="1" applyFill="1" applyBorder="1" applyAlignment="1" applyProtection="1">
      <alignment horizontal="left"/>
      <protection locked="0"/>
    </xf>
    <xf numFmtId="0" fontId="4" fillId="4" borderId="34" xfId="1" applyFont="1" applyFill="1" applyBorder="1" applyAlignment="1" applyProtection="1">
      <alignment horizontal="left"/>
      <protection locked="0"/>
    </xf>
    <xf numFmtId="49" fontId="4" fillId="4" borderId="20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20" xfId="1" applyFont="1" applyFill="1" applyBorder="1" applyAlignment="1" applyProtection="1">
      <alignment horizontal="center" vertical="center"/>
      <protection locked="0"/>
    </xf>
    <xf numFmtId="4" fontId="4" fillId="4" borderId="20" xfId="1" applyNumberFormat="1" applyFont="1" applyFill="1" applyBorder="1" applyAlignment="1" applyProtection="1">
      <alignment horizontal="right" vertical="center"/>
      <protection locked="0"/>
    </xf>
    <xf numFmtId="0" fontId="13" fillId="0" borderId="44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7" fillId="0" borderId="0" xfId="1" applyFont="1" applyAlignment="1">
      <alignment horizontal="left"/>
    </xf>
    <xf numFmtId="14" fontId="4" fillId="0" borderId="18" xfId="1" applyNumberFormat="1" applyFont="1" applyBorder="1" applyAlignment="1">
      <alignment horizontal="left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/>
    </xf>
    <xf numFmtId="0" fontId="6" fillId="0" borderId="5" xfId="1" applyFont="1" applyBorder="1" applyAlignment="1" applyProtection="1">
      <alignment horizontal="center"/>
      <protection hidden="1"/>
    </xf>
    <xf numFmtId="0" fontId="13" fillId="4" borderId="0" xfId="0" applyFont="1" applyFill="1" applyAlignment="1" applyProtection="1">
      <alignment horizontal="center"/>
      <protection locked="0"/>
    </xf>
    <xf numFmtId="0" fontId="4" fillId="0" borderId="44" xfId="1" applyFont="1" applyBorder="1" applyAlignment="1">
      <alignment horizontal="center"/>
    </xf>
    <xf numFmtId="0" fontId="4" fillId="0" borderId="44" xfId="1" applyFont="1" applyBorder="1" applyAlignment="1">
      <alignment horizontal="center" vertical="top"/>
    </xf>
    <xf numFmtId="0" fontId="13" fillId="0" borderId="44" xfId="0" applyFont="1" applyBorder="1" applyAlignment="1">
      <alignment horizontal="center"/>
    </xf>
    <xf numFmtId="0" fontId="13" fillId="4" borderId="0" xfId="0" applyFont="1" applyFill="1" applyAlignment="1" applyProtection="1">
      <alignment horizontal="left" vertical="top" wrapText="1"/>
      <protection locked="0"/>
    </xf>
    <xf numFmtId="0" fontId="4" fillId="0" borderId="0" xfId="1" applyFont="1" applyAlignment="1">
      <alignment horizontal="left" wrapText="1"/>
    </xf>
    <xf numFmtId="14" fontId="13" fillId="4" borderId="0" xfId="0" applyNumberFormat="1" applyFont="1" applyFill="1" applyAlignment="1" applyProtection="1">
      <alignment horizontal="center"/>
      <protection locked="0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164" fontId="4" fillId="0" borderId="38" xfId="1" applyNumberFormat="1" applyFont="1" applyBorder="1" applyProtection="1">
      <protection hidden="1"/>
    </xf>
    <xf numFmtId="4" fontId="4" fillId="0" borderId="22" xfId="1" applyNumberFormat="1" applyFont="1" applyBorder="1" applyAlignment="1" applyProtection="1">
      <alignment horizontal="right" vertical="center"/>
      <protection hidden="1"/>
    </xf>
    <xf numFmtId="164" fontId="4" fillId="0" borderId="30" xfId="1" applyNumberFormat="1" applyFont="1" applyBorder="1" applyProtection="1">
      <protection hidden="1"/>
    </xf>
    <xf numFmtId="2" fontId="4" fillId="0" borderId="17" xfId="1" applyNumberFormat="1" applyFont="1" applyBorder="1" applyAlignment="1" applyProtection="1">
      <alignment horizontal="right" vertical="center"/>
      <protection hidden="1"/>
    </xf>
    <xf numFmtId="49" fontId="4" fillId="4" borderId="15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15" xfId="1" applyFont="1" applyFill="1" applyBorder="1" applyAlignment="1" applyProtection="1">
      <alignment horizontal="center" vertical="center"/>
      <protection locked="0"/>
    </xf>
    <xf numFmtId="0" fontId="4" fillId="0" borderId="35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4" fontId="4" fillId="0" borderId="17" xfId="1" applyNumberFormat="1" applyFont="1" applyBorder="1" applyAlignment="1">
      <alignment horizontal="right" vertical="center"/>
    </xf>
    <xf numFmtId="4" fontId="4" fillId="0" borderId="17" xfId="1" applyNumberFormat="1" applyFont="1" applyBorder="1" applyAlignment="1" applyProtection="1">
      <alignment horizontal="right" vertical="center"/>
      <protection hidden="1"/>
    </xf>
    <xf numFmtId="4" fontId="4" fillId="0" borderId="15" xfId="1" applyNumberFormat="1" applyFont="1" applyBorder="1" applyAlignment="1" applyProtection="1">
      <alignment horizontal="right" vertical="center"/>
      <protection hidden="1"/>
    </xf>
    <xf numFmtId="164" fontId="4" fillId="0" borderId="36" xfId="1" applyNumberFormat="1" applyFont="1" applyBorder="1" applyProtection="1">
      <protection hidden="1"/>
    </xf>
    <xf numFmtId="0" fontId="22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textRotation="90" wrapText="1"/>
    </xf>
    <xf numFmtId="0" fontId="4" fillId="0" borderId="12" xfId="1" applyFont="1" applyBorder="1" applyAlignment="1">
      <alignment horizontal="center" vertical="center" textRotation="90"/>
    </xf>
    <xf numFmtId="0" fontId="10" fillId="2" borderId="12" xfId="1" applyFont="1" applyFill="1" applyBorder="1" applyAlignment="1">
      <alignment horizontal="center" vertical="center" wrapText="1"/>
    </xf>
    <xf numFmtId="165" fontId="4" fillId="4" borderId="26" xfId="1" applyNumberFormat="1" applyFont="1" applyFill="1" applyBorder="1" applyAlignment="1" applyProtection="1">
      <alignment horizontal="center" vertical="center" wrapText="1"/>
      <protection locked="0"/>
    </xf>
    <xf numFmtId="49" fontId="4" fillId="4" borderId="22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22" xfId="1" applyFont="1" applyFill="1" applyBorder="1" applyAlignment="1" applyProtection="1">
      <alignment horizontal="center" vertical="center"/>
      <protection locked="0"/>
    </xf>
    <xf numFmtId="0" fontId="4" fillId="4" borderId="27" xfId="1" applyFont="1" applyFill="1" applyBorder="1" applyAlignment="1" applyProtection="1">
      <alignment horizontal="left"/>
      <protection locked="0"/>
    </xf>
    <xf numFmtId="0" fontId="4" fillId="4" borderId="28" xfId="1" applyFont="1" applyFill="1" applyBorder="1" applyAlignment="1" applyProtection="1">
      <alignment horizontal="left"/>
      <protection locked="0"/>
    </xf>
    <xf numFmtId="2" fontId="4" fillId="0" borderId="19" xfId="1" applyNumberFormat="1" applyFont="1" applyBorder="1" applyAlignment="1" applyProtection="1">
      <alignment horizontal="right" vertical="center"/>
      <protection hidden="1"/>
    </xf>
    <xf numFmtId="0" fontId="38" fillId="0" borderId="0" xfId="0" applyFont="1" applyAlignment="1" applyProtection="1">
      <alignment horizontal="center" vertical="center" wrapText="1"/>
      <protection hidden="1"/>
    </xf>
    <xf numFmtId="168" fontId="4" fillId="0" borderId="0" xfId="1" applyNumberFormat="1" applyFont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center" vertical="top"/>
    </xf>
    <xf numFmtId="0" fontId="31" fillId="0" borderId="23" xfId="1" applyFont="1" applyBorder="1" applyAlignment="1" applyProtection="1">
      <alignment horizontal="left" vertical="center" wrapText="1"/>
      <protection hidden="1"/>
    </xf>
    <xf numFmtId="0" fontId="31" fillId="0" borderId="46" xfId="1" applyFont="1" applyBorder="1" applyAlignment="1" applyProtection="1">
      <alignment horizontal="left" vertical="center" wrapText="1"/>
      <protection hidden="1"/>
    </xf>
    <xf numFmtId="0" fontId="31" fillId="0" borderId="24" xfId="1" applyFont="1" applyBorder="1" applyAlignment="1" applyProtection="1">
      <alignment horizontal="left" vertical="center" wrapText="1"/>
      <protection hidden="1"/>
    </xf>
    <xf numFmtId="0" fontId="22" fillId="0" borderId="0" xfId="1" applyFont="1" applyAlignment="1">
      <alignment horizontal="center" vertical="center"/>
    </xf>
    <xf numFmtId="0" fontId="26" fillId="0" borderId="23" xfId="1" applyFont="1" applyBorder="1" applyAlignment="1" applyProtection="1">
      <alignment horizontal="center"/>
      <protection hidden="1"/>
    </xf>
    <xf numFmtId="0" fontId="26" fillId="0" borderId="24" xfId="1" applyFont="1" applyBorder="1" applyAlignment="1" applyProtection="1">
      <alignment horizontal="center"/>
      <protection hidden="1"/>
    </xf>
    <xf numFmtId="0" fontId="26" fillId="0" borderId="15" xfId="1" applyFont="1" applyBorder="1" applyAlignment="1" applyProtection="1">
      <alignment horizontal="left"/>
      <protection hidden="1"/>
    </xf>
    <xf numFmtId="2" fontId="26" fillId="4" borderId="23" xfId="1" applyNumberFormat="1" applyFont="1" applyFill="1" applyBorder="1" applyAlignment="1" applyProtection="1">
      <alignment horizontal="center" vertical="center" shrinkToFit="1"/>
      <protection locked="0" hidden="1"/>
    </xf>
    <xf numFmtId="2" fontId="26" fillId="4" borderId="24" xfId="1" applyNumberFormat="1" applyFont="1" applyFill="1" applyBorder="1" applyAlignment="1" applyProtection="1">
      <alignment horizontal="center" vertical="center" shrinkToFit="1"/>
      <protection locked="0" hidden="1"/>
    </xf>
    <xf numFmtId="0" fontId="26" fillId="0" borderId="23" xfId="1" applyFont="1" applyBorder="1" applyAlignment="1" applyProtection="1">
      <alignment horizontal="left"/>
      <protection hidden="1"/>
    </xf>
    <xf numFmtId="0" fontId="26" fillId="0" borderId="46" xfId="1" applyFont="1" applyBorder="1" applyAlignment="1" applyProtection="1">
      <alignment horizontal="left"/>
      <protection hidden="1"/>
    </xf>
    <xf numFmtId="0" fontId="26" fillId="0" borderId="24" xfId="1" applyFont="1" applyBorder="1" applyAlignment="1" applyProtection="1">
      <alignment horizontal="left"/>
      <protection hidden="1"/>
    </xf>
    <xf numFmtId="0" fontId="26" fillId="0" borderId="23" xfId="1" applyFont="1" applyBorder="1" applyAlignment="1" applyProtection="1">
      <alignment horizontal="left" vertical="center"/>
      <protection hidden="1"/>
    </xf>
    <xf numFmtId="0" fontId="26" fillId="0" borderId="46" xfId="1" applyFont="1" applyBorder="1" applyAlignment="1" applyProtection="1">
      <alignment horizontal="left" vertical="center"/>
      <protection hidden="1"/>
    </xf>
    <xf numFmtId="0" fontId="26" fillId="0" borderId="24" xfId="1" applyFont="1" applyBorder="1" applyAlignment="1" applyProtection="1">
      <alignment horizontal="left" vertical="center"/>
      <protection hidden="1"/>
    </xf>
    <xf numFmtId="2" fontId="26" fillId="4" borderId="15" xfId="1" applyNumberFormat="1" applyFont="1" applyFill="1" applyBorder="1" applyAlignment="1" applyProtection="1">
      <alignment horizontal="center" vertical="center"/>
      <protection locked="0" hidden="1"/>
    </xf>
    <xf numFmtId="0" fontId="10" fillId="0" borderId="39" xfId="1" applyFont="1" applyBorder="1" applyAlignment="1" applyProtection="1">
      <alignment horizontal="center" vertical="center" wrapText="1"/>
      <protection hidden="1"/>
    </xf>
    <xf numFmtId="0" fontId="10" fillId="0" borderId="40" xfId="1" applyFont="1" applyBorder="1" applyAlignment="1" applyProtection="1">
      <alignment horizontal="center" vertical="center" wrapText="1"/>
      <protection hidden="1"/>
    </xf>
    <xf numFmtId="0" fontId="10" fillId="0" borderId="37" xfId="1" applyFont="1" applyBorder="1" applyAlignment="1" applyProtection="1">
      <alignment horizontal="center" vertical="center" wrapText="1"/>
      <protection hidden="1"/>
    </xf>
    <xf numFmtId="0" fontId="10" fillId="0" borderId="48" xfId="1" applyFont="1" applyBorder="1" applyAlignment="1" applyProtection="1">
      <alignment horizontal="center" vertical="center" wrapText="1"/>
      <protection hidden="1"/>
    </xf>
    <xf numFmtId="14" fontId="26" fillId="0" borderId="15" xfId="1" applyNumberFormat="1" applyFont="1" applyBorder="1" applyAlignment="1" applyProtection="1">
      <alignment horizontal="center"/>
      <protection hidden="1"/>
    </xf>
    <xf numFmtId="4" fontId="4" fillId="0" borderId="23" xfId="1" applyNumberFormat="1" applyFont="1" applyBorder="1" applyAlignment="1" applyProtection="1">
      <alignment horizontal="center" vertical="center"/>
      <protection hidden="1"/>
    </xf>
    <xf numFmtId="4" fontId="4" fillId="0" borderId="24" xfId="1" applyNumberFormat="1" applyFont="1" applyBorder="1" applyAlignment="1" applyProtection="1">
      <alignment horizontal="center" vertical="center"/>
      <protection hidden="1"/>
    </xf>
    <xf numFmtId="0" fontId="26" fillId="0" borderId="39" xfId="1" applyFont="1" applyBorder="1" applyAlignment="1" applyProtection="1">
      <alignment horizontal="left" vertical="center" wrapText="1"/>
      <protection hidden="1"/>
    </xf>
    <xf numFmtId="0" fontId="26" fillId="0" borderId="40" xfId="1" applyFont="1" applyBorder="1" applyAlignment="1" applyProtection="1">
      <alignment horizontal="left" vertical="center" wrapText="1"/>
      <protection hidden="1"/>
    </xf>
    <xf numFmtId="0" fontId="26" fillId="0" borderId="37" xfId="1" applyFont="1" applyBorder="1" applyAlignment="1" applyProtection="1">
      <alignment horizontal="left" vertical="center" wrapText="1"/>
      <protection hidden="1"/>
    </xf>
    <xf numFmtId="0" fontId="26" fillId="0" borderId="48" xfId="1" applyFont="1" applyBorder="1" applyAlignment="1" applyProtection="1">
      <alignment horizontal="left" vertical="center" wrapText="1"/>
      <protection hidden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6" fillId="0" borderId="49" xfId="1" applyFont="1" applyBorder="1" applyAlignment="1" applyProtection="1">
      <alignment horizontal="center" vertical="center" wrapText="1"/>
      <protection hidden="1"/>
    </xf>
    <xf numFmtId="20" fontId="26" fillId="4" borderId="23" xfId="1" applyNumberFormat="1" applyFont="1" applyFill="1" applyBorder="1" applyAlignment="1" applyProtection="1">
      <alignment horizontal="left" shrinkToFit="1"/>
      <protection locked="0" hidden="1"/>
    </xf>
    <xf numFmtId="20" fontId="26" fillId="4" borderId="24" xfId="1" applyNumberFormat="1" applyFont="1" applyFill="1" applyBorder="1" applyAlignment="1" applyProtection="1">
      <alignment horizontal="left" shrinkToFit="1"/>
      <protection locked="0" hidden="1"/>
    </xf>
    <xf numFmtId="0" fontId="26" fillId="4" borderId="23" xfId="1" applyFont="1" applyFill="1" applyBorder="1" applyAlignment="1" applyProtection="1">
      <alignment horizontal="left" shrinkToFit="1"/>
      <protection locked="0" hidden="1"/>
    </xf>
    <xf numFmtId="0" fontId="26" fillId="4" borderId="24" xfId="1" applyFont="1" applyFill="1" applyBorder="1" applyAlignment="1" applyProtection="1">
      <alignment horizontal="left" shrinkToFit="1"/>
      <protection locked="0" hidden="1"/>
    </xf>
    <xf numFmtId="0" fontId="9" fillId="0" borderId="23" xfId="0" applyFont="1" applyBorder="1" applyAlignment="1">
      <alignment horizontal="center" vertical="top"/>
    </xf>
    <xf numFmtId="0" fontId="9" fillId="0" borderId="46" xfId="0" applyFont="1" applyBorder="1" applyAlignment="1">
      <alignment horizontal="center" vertical="top"/>
    </xf>
    <xf numFmtId="0" fontId="33" fillId="0" borderId="42" xfId="1" applyFont="1" applyBorder="1" applyAlignment="1" applyProtection="1">
      <alignment horizontal="center" vertical="center" wrapText="1"/>
      <protection hidden="1"/>
    </xf>
    <xf numFmtId="0" fontId="33" fillId="0" borderId="0" xfId="1" applyFont="1" applyAlignment="1" applyProtection="1">
      <alignment horizontal="center" vertical="center" wrapText="1"/>
      <protection hidden="1"/>
    </xf>
    <xf numFmtId="0" fontId="33" fillId="0" borderId="47" xfId="1" applyFont="1" applyBorder="1" applyAlignment="1" applyProtection="1">
      <alignment horizontal="center" vertical="center" wrapText="1"/>
      <protection hidden="1"/>
    </xf>
    <xf numFmtId="0" fontId="4" fillId="0" borderId="0" xfId="1" applyFont="1" applyAlignment="1">
      <alignment horizontal="center" vertical="center"/>
    </xf>
    <xf numFmtId="20" fontId="26" fillId="4" borderId="15" xfId="1" applyNumberFormat="1" applyFont="1" applyFill="1" applyBorder="1" applyAlignment="1" applyProtection="1">
      <alignment horizontal="center"/>
      <protection locked="0" hidden="1"/>
    </xf>
    <xf numFmtId="168" fontId="4" fillId="0" borderId="0" xfId="1" applyNumberFormat="1" applyFont="1" applyAlignment="1" applyProtection="1">
      <alignment horizontal="left" vertical="center"/>
      <protection hidden="1"/>
    </xf>
    <xf numFmtId="0" fontId="26" fillId="0" borderId="39" xfId="1" applyFont="1" applyBorder="1" applyAlignment="1" applyProtection="1">
      <alignment horizontal="left" vertical="center"/>
      <protection hidden="1"/>
    </xf>
    <xf numFmtId="0" fontId="26" fillId="0" borderId="40" xfId="1" applyFont="1" applyBorder="1" applyAlignment="1" applyProtection="1">
      <alignment horizontal="left" vertical="center"/>
      <protection hidden="1"/>
    </xf>
    <xf numFmtId="0" fontId="26" fillId="0" borderId="42" xfId="1" applyFont="1" applyBorder="1" applyAlignment="1" applyProtection="1">
      <alignment horizontal="left" vertical="center"/>
      <protection hidden="1"/>
    </xf>
    <xf numFmtId="0" fontId="26" fillId="0" borderId="47" xfId="1" applyFont="1" applyBorder="1" applyAlignment="1" applyProtection="1">
      <alignment horizontal="left" vertical="center"/>
      <protection hidden="1"/>
    </xf>
    <xf numFmtId="0" fontId="26" fillId="0" borderId="37" xfId="1" applyFont="1" applyBorder="1" applyAlignment="1" applyProtection="1">
      <alignment horizontal="left" vertical="center"/>
      <protection hidden="1"/>
    </xf>
    <xf numFmtId="0" fontId="26" fillId="0" borderId="48" xfId="1" applyFont="1" applyBorder="1" applyAlignment="1" applyProtection="1">
      <alignment horizontal="left" vertical="center"/>
      <protection hidden="1"/>
    </xf>
    <xf numFmtId="0" fontId="26" fillId="0" borderId="39" xfId="1" applyFont="1" applyBorder="1" applyAlignment="1" applyProtection="1">
      <alignment horizontal="left"/>
      <protection hidden="1"/>
    </xf>
    <xf numFmtId="0" fontId="26" fillId="0" borderId="40" xfId="1" applyFont="1" applyBorder="1" applyAlignment="1" applyProtection="1">
      <alignment horizontal="left"/>
      <protection hidden="1"/>
    </xf>
    <xf numFmtId="0" fontId="26" fillId="0" borderId="23" xfId="1" applyFont="1" applyBorder="1" applyAlignment="1" applyProtection="1">
      <alignment horizontal="left" vertical="center" wrapText="1"/>
      <protection hidden="1"/>
    </xf>
    <xf numFmtId="0" fontId="26" fillId="0" borderId="46" xfId="1" applyFont="1" applyBorder="1" applyAlignment="1" applyProtection="1">
      <alignment horizontal="left" vertical="center" wrapText="1"/>
      <protection hidden="1"/>
    </xf>
    <xf numFmtId="0" fontId="26" fillId="0" borderId="24" xfId="1" applyFont="1" applyBorder="1" applyAlignment="1" applyProtection="1">
      <alignment horizontal="left" vertical="center" wrapText="1"/>
      <protection hidden="1"/>
    </xf>
    <xf numFmtId="0" fontId="9" fillId="0" borderId="23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5" fillId="0" borderId="23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26" fillId="0" borderId="23" xfId="1" applyFont="1" applyBorder="1" applyProtection="1">
      <protection hidden="1"/>
    </xf>
    <xf numFmtId="0" fontId="26" fillId="0" borderId="46" xfId="1" applyFont="1" applyBorder="1" applyProtection="1">
      <protection hidden="1"/>
    </xf>
    <xf numFmtId="0" fontId="26" fillId="0" borderId="24" xfId="1" applyFont="1" applyBorder="1" applyProtection="1">
      <protection hidden="1"/>
    </xf>
    <xf numFmtId="0" fontId="16" fillId="0" borderId="42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4" fontId="26" fillId="4" borderId="23" xfId="1" applyNumberFormat="1" applyFont="1" applyFill="1" applyBorder="1" applyAlignment="1" applyProtection="1">
      <alignment horizontal="right" vertical="center"/>
      <protection locked="0"/>
    </xf>
    <xf numFmtId="4" fontId="26" fillId="4" borderId="24" xfId="1" applyNumberFormat="1" applyFont="1" applyFill="1" applyBorder="1" applyAlignment="1" applyProtection="1">
      <alignment horizontal="right" vertical="center"/>
      <protection locked="0"/>
    </xf>
    <xf numFmtId="0" fontId="37" fillId="0" borderId="18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178" fontId="26" fillId="0" borderId="15" xfId="1" applyNumberFormat="1" applyFont="1" applyBorder="1" applyAlignment="1" applyProtection="1">
      <alignment horizontal="right" vertical="center"/>
      <protection hidden="1"/>
    </xf>
    <xf numFmtId="4" fontId="26" fillId="4" borderId="15" xfId="1" applyNumberFormat="1" applyFont="1" applyFill="1" applyBorder="1" applyAlignment="1" applyProtection="1">
      <alignment horizontal="right" vertical="center"/>
      <protection locked="0"/>
    </xf>
    <xf numFmtId="0" fontId="27" fillId="4" borderId="39" xfId="1" applyFont="1" applyFill="1" applyBorder="1" applyAlignment="1" applyProtection="1">
      <alignment horizontal="center"/>
      <protection hidden="1"/>
    </xf>
    <xf numFmtId="0" fontId="27" fillId="4" borderId="44" xfId="1" applyFont="1" applyFill="1" applyBorder="1" applyAlignment="1" applyProtection="1">
      <alignment horizontal="center"/>
      <protection hidden="1"/>
    </xf>
    <xf numFmtId="0" fontId="27" fillId="4" borderId="40" xfId="1" applyFont="1" applyFill="1" applyBorder="1" applyAlignment="1" applyProtection="1">
      <alignment horizontal="center"/>
      <protection hidden="1"/>
    </xf>
    <xf numFmtId="171" fontId="26" fillId="0" borderId="23" xfId="1" applyNumberFormat="1" applyFont="1" applyBorder="1" applyAlignment="1" applyProtection="1">
      <alignment horizontal="center" vertical="center" shrinkToFit="1"/>
      <protection hidden="1"/>
    </xf>
    <xf numFmtId="171" fontId="26" fillId="0" borderId="24" xfId="1" applyNumberFormat="1" applyFont="1" applyBorder="1" applyAlignment="1" applyProtection="1">
      <alignment horizontal="center" vertical="center" shrinkToFit="1"/>
      <protection hidden="1"/>
    </xf>
    <xf numFmtId="0" fontId="13" fillId="0" borderId="44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4" fillId="0" borderId="44" xfId="1" applyFont="1" applyBorder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13" fillId="0" borderId="44" xfId="0" applyFont="1" applyBorder="1" applyAlignment="1">
      <alignment horizontal="center" vertical="top"/>
    </xf>
    <xf numFmtId="0" fontId="9" fillId="4" borderId="39" xfId="0" applyFont="1" applyFill="1" applyBorder="1" applyAlignment="1" applyProtection="1">
      <alignment horizontal="center" vertical="top" shrinkToFit="1"/>
      <protection locked="0"/>
    </xf>
    <xf numFmtId="0" fontId="9" fillId="4" borderId="44" xfId="0" applyFont="1" applyFill="1" applyBorder="1" applyAlignment="1" applyProtection="1">
      <alignment horizontal="center" vertical="top" shrinkToFit="1"/>
      <protection locked="0"/>
    </xf>
    <xf numFmtId="0" fontId="9" fillId="4" borderId="40" xfId="0" applyFont="1" applyFill="1" applyBorder="1" applyAlignment="1" applyProtection="1">
      <alignment horizontal="center" vertical="top" shrinkToFit="1"/>
      <protection locked="0"/>
    </xf>
    <xf numFmtId="0" fontId="9" fillId="4" borderId="42" xfId="0" applyFont="1" applyFill="1" applyBorder="1" applyAlignment="1" applyProtection="1">
      <alignment horizontal="center" vertical="top" shrinkToFit="1"/>
      <protection locked="0"/>
    </xf>
    <xf numFmtId="0" fontId="9" fillId="4" borderId="0" xfId="0" applyFont="1" applyFill="1" applyAlignment="1" applyProtection="1">
      <alignment horizontal="center" vertical="top" shrinkToFit="1"/>
      <protection locked="0"/>
    </xf>
    <xf numFmtId="0" fontId="9" fillId="4" borderId="47" xfId="0" applyFont="1" applyFill="1" applyBorder="1" applyAlignment="1" applyProtection="1">
      <alignment horizontal="center" vertical="top" shrinkToFit="1"/>
      <protection locked="0"/>
    </xf>
    <xf numFmtId="0" fontId="9" fillId="4" borderId="37" xfId="0" applyFont="1" applyFill="1" applyBorder="1" applyAlignment="1" applyProtection="1">
      <alignment horizontal="center" vertical="top" shrinkToFit="1"/>
      <protection locked="0"/>
    </xf>
    <xf numFmtId="0" fontId="9" fillId="4" borderId="18" xfId="0" applyFont="1" applyFill="1" applyBorder="1" applyAlignment="1" applyProtection="1">
      <alignment horizontal="center" vertical="top" shrinkToFit="1"/>
      <protection locked="0"/>
    </xf>
    <xf numFmtId="0" fontId="9" fillId="4" borderId="48" xfId="0" applyFont="1" applyFill="1" applyBorder="1" applyAlignment="1" applyProtection="1">
      <alignment horizontal="center" vertical="top" shrinkToFit="1"/>
      <protection locked="0"/>
    </xf>
    <xf numFmtId="0" fontId="4" fillId="0" borderId="44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9" fillId="4" borderId="39" xfId="0" applyFont="1" applyFill="1" applyBorder="1" applyAlignment="1" applyProtection="1">
      <alignment horizontal="left" vertical="center" wrapText="1"/>
      <protection locked="0"/>
    </xf>
    <xf numFmtId="0" fontId="9" fillId="4" borderId="44" xfId="0" applyFont="1" applyFill="1" applyBorder="1" applyAlignment="1" applyProtection="1">
      <alignment horizontal="left" vertical="center" wrapText="1"/>
      <protection locked="0"/>
    </xf>
    <xf numFmtId="0" fontId="9" fillId="4" borderId="40" xfId="0" applyFont="1" applyFill="1" applyBorder="1" applyAlignment="1" applyProtection="1">
      <alignment horizontal="left" vertical="center" wrapText="1"/>
      <protection locked="0"/>
    </xf>
    <xf numFmtId="0" fontId="9" fillId="4" borderId="37" xfId="0" applyFont="1" applyFill="1" applyBorder="1" applyAlignment="1" applyProtection="1">
      <alignment horizontal="left" vertical="center" wrapText="1"/>
      <protection locked="0"/>
    </xf>
    <xf numFmtId="0" fontId="9" fillId="4" borderId="18" xfId="0" applyFont="1" applyFill="1" applyBorder="1" applyAlignment="1" applyProtection="1">
      <alignment horizontal="left" vertical="center" wrapText="1"/>
      <protection locked="0"/>
    </xf>
    <xf numFmtId="0" fontId="9" fillId="4" borderId="48" xfId="0" applyFont="1" applyFill="1" applyBorder="1" applyAlignment="1" applyProtection="1">
      <alignment horizontal="left" vertical="center" wrapText="1"/>
      <protection locked="0"/>
    </xf>
    <xf numFmtId="0" fontId="31" fillId="0" borderId="0" xfId="1" applyFont="1" applyAlignment="1">
      <alignment horizontal="left" vertical="top" wrapText="1"/>
    </xf>
    <xf numFmtId="0" fontId="26" fillId="0" borderId="15" xfId="1" applyFont="1" applyBorder="1" applyAlignment="1" applyProtection="1">
      <alignment horizontal="center" vertical="center"/>
      <protection hidden="1"/>
    </xf>
    <xf numFmtId="0" fontId="24" fillId="0" borderId="23" xfId="1" applyFont="1" applyBorder="1" applyAlignment="1" applyProtection="1">
      <alignment horizontal="left" vertical="center"/>
      <protection locked="0" hidden="1"/>
    </xf>
    <xf numFmtId="0" fontId="24" fillId="0" borderId="46" xfId="1" applyFont="1" applyBorder="1" applyAlignment="1" applyProtection="1">
      <alignment horizontal="left" vertical="center"/>
      <protection locked="0" hidden="1"/>
    </xf>
    <xf numFmtId="0" fontId="24" fillId="0" borderId="24" xfId="1" applyFont="1" applyBorder="1" applyAlignment="1" applyProtection="1">
      <alignment horizontal="left" vertical="center"/>
      <protection locked="0" hidden="1"/>
    </xf>
    <xf numFmtId="0" fontId="0" fillId="0" borderId="0" xfId="0" applyAlignment="1" applyProtection="1">
      <alignment horizontal="center" vertical="top" wrapText="1"/>
      <protection hidden="1"/>
    </xf>
    <xf numFmtId="0" fontId="24" fillId="0" borderId="23" xfId="1" applyFont="1" applyBorder="1" applyAlignment="1" applyProtection="1">
      <alignment horizontal="left" vertical="center"/>
      <protection hidden="1"/>
    </xf>
    <xf numFmtId="0" fontId="24" fillId="0" borderId="46" xfId="1" applyFont="1" applyBorder="1" applyAlignment="1" applyProtection="1">
      <alignment horizontal="left" vertical="center"/>
      <protection hidden="1"/>
    </xf>
    <xf numFmtId="0" fontId="24" fillId="0" borderId="24" xfId="1" applyFont="1" applyBorder="1" applyAlignment="1" applyProtection="1">
      <alignment horizontal="left" vertical="center"/>
      <protection hidden="1"/>
    </xf>
    <xf numFmtId="0" fontId="24" fillId="0" borderId="44" xfId="1" applyFont="1" applyBorder="1" applyAlignment="1" applyProtection="1">
      <alignment horizontal="center"/>
      <protection hidden="1"/>
    </xf>
    <xf numFmtId="0" fontId="25" fillId="0" borderId="44" xfId="1" applyFont="1" applyBorder="1" applyAlignment="1" applyProtection="1">
      <alignment horizontal="center"/>
      <protection hidden="1"/>
    </xf>
    <xf numFmtId="14" fontId="24" fillId="0" borderId="23" xfId="1" applyNumberFormat="1" applyFont="1" applyBorder="1" applyAlignment="1" applyProtection="1">
      <alignment horizontal="center" vertical="center"/>
      <protection locked="0" hidden="1"/>
    </xf>
    <xf numFmtId="14" fontId="24" fillId="0" borderId="24" xfId="1" applyNumberFormat="1" applyFont="1" applyBorder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24" fillId="0" borderId="0" xfId="1" applyFont="1" applyAlignment="1" applyProtection="1">
      <alignment horizontal="left" vertical="center"/>
      <protection hidden="1"/>
    </xf>
    <xf numFmtId="0" fontId="24" fillId="0" borderId="23" xfId="1" applyFont="1" applyBorder="1" applyAlignment="1" applyProtection="1">
      <alignment horizontal="center" vertical="center"/>
      <protection hidden="1"/>
    </xf>
    <xf numFmtId="0" fontId="24" fillId="0" borderId="24" xfId="1" applyFont="1" applyBorder="1" applyAlignment="1" applyProtection="1">
      <alignment horizontal="center" vertical="center"/>
      <protection hidden="1"/>
    </xf>
    <xf numFmtId="1" fontId="24" fillId="0" borderId="23" xfId="1" applyNumberFormat="1" applyFont="1" applyBorder="1" applyAlignment="1" applyProtection="1">
      <alignment horizontal="center" vertical="center"/>
      <protection locked="0" hidden="1"/>
    </xf>
    <xf numFmtId="1" fontId="24" fillId="0" borderId="24" xfId="1" applyNumberFormat="1" applyFont="1" applyBorder="1" applyAlignment="1" applyProtection="1">
      <alignment horizontal="center" vertical="center"/>
      <protection locked="0" hidden="1"/>
    </xf>
    <xf numFmtId="0" fontId="0" fillId="4" borderId="39" xfId="0" applyFill="1" applyBorder="1" applyAlignment="1" applyProtection="1">
      <alignment horizontal="left" vertical="top" wrapText="1"/>
      <protection locked="0"/>
    </xf>
    <xf numFmtId="0" fontId="0" fillId="4" borderId="44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horizontal="left" vertical="top" wrapText="1"/>
      <protection locked="0"/>
    </xf>
    <xf numFmtId="0" fontId="0" fillId="4" borderId="42" xfId="0" applyFill="1" applyBorder="1" applyAlignment="1" applyProtection="1">
      <alignment horizontal="left"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47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horizontal="left"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8" xfId="0" applyFill="1" applyBorder="1" applyAlignment="1" applyProtection="1">
      <alignment horizontal="left" vertical="top" wrapText="1"/>
      <protection locked="0"/>
    </xf>
  </cellXfs>
  <cellStyles count="4">
    <cellStyle name="Normal" xfId="3" xr:uid="{3CD3F417-78B7-4B32-87EE-A2F7694B4AE6}"/>
    <cellStyle name="Normální" xfId="0" builtinId="0"/>
    <cellStyle name="normální 2" xfId="1" xr:uid="{00000000-0005-0000-0000-000001000000}"/>
    <cellStyle name="Styl 1" xfId="2" xr:uid="{00000000-0005-0000-0000-000002000000}"/>
  </cellStyles>
  <dxfs count="24">
    <dxf>
      <numFmt numFmtId="181" formatCode="dd/mm/yyyy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/>
        <color rgb="FFFF0000"/>
      </font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</dxf>
    <dxf>
      <font>
        <b/>
        <i/>
      </font>
      <fill>
        <patternFill>
          <bgColor rgb="FFF6E7E6"/>
        </patternFill>
      </fill>
    </dxf>
    <dxf>
      <font>
        <color rgb="FFFF0000"/>
      </font>
    </dxf>
    <dxf>
      <font>
        <color rgb="FFFF0000"/>
      </font>
      <numFmt numFmtId="165" formatCode="dd/mm/yy;@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FF0000"/>
      </font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ECF2F8"/>
      <color rgb="FFF6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6804</xdr:colOff>
      <xdr:row>0</xdr:row>
      <xdr:rowOff>13605</xdr:rowOff>
    </xdr:from>
    <xdr:to>
      <xdr:col>5</xdr:col>
      <xdr:colOff>204654</xdr:colOff>
      <xdr:row>0</xdr:row>
      <xdr:rowOff>749219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10474E5-E2A5-413C-BFA8-38CD13BB0A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29" b="12362"/>
        <a:stretch/>
      </xdr:blipFill>
      <xdr:spPr>
        <a:xfrm>
          <a:off x="54429" y="13605"/>
          <a:ext cx="2160000" cy="7356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6804</xdr:colOff>
      <xdr:row>0</xdr:row>
      <xdr:rowOff>13605</xdr:rowOff>
    </xdr:from>
    <xdr:to>
      <xdr:col>6</xdr:col>
      <xdr:colOff>233806</xdr:colOff>
      <xdr:row>0</xdr:row>
      <xdr:rowOff>945695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1268041-5D0D-4806-A31B-249A3101BD1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29" b="12362"/>
        <a:stretch/>
      </xdr:blipFill>
      <xdr:spPr>
        <a:xfrm>
          <a:off x="54429" y="13605"/>
          <a:ext cx="2733675" cy="9320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4</xdr:col>
      <xdr:colOff>559800</xdr:colOff>
      <xdr:row>0</xdr:row>
      <xdr:rowOff>735614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8428543-2328-4BC5-8856-289DD43C65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29" b="12362"/>
        <a:stretch/>
      </xdr:blipFill>
      <xdr:spPr>
        <a:xfrm>
          <a:off x="0" y="0"/>
          <a:ext cx="2160000" cy="7356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0</xdr:rowOff>
    </xdr:from>
    <xdr:to>
      <xdr:col>5</xdr:col>
      <xdr:colOff>102600</xdr:colOff>
      <xdr:row>0</xdr:row>
      <xdr:rowOff>735614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5F2CCD5B-DDDB-4CE0-954B-5F91038123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29" b="12362"/>
        <a:stretch/>
      </xdr:blipFill>
      <xdr:spPr>
        <a:xfrm>
          <a:off x="47625" y="0"/>
          <a:ext cx="2160000" cy="7356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rmul&#225;&#345;e\Pracovn&#237;%20cesty\CP-tuzemsky-v22.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kaz"/>
      <sheetName val="Vyúčtování"/>
      <sheetName val="Zpráva o cestě"/>
      <sheetName val="List1"/>
    </sheetNames>
    <sheetDataSet>
      <sheetData sheetId="0"/>
      <sheetData sheetId="1"/>
      <sheetData sheetId="2"/>
      <sheetData sheetId="3">
        <row r="3">
          <cell r="B3" t="str">
            <v>V</v>
          </cell>
          <cell r="C3" t="str">
            <v>Vlak</v>
          </cell>
        </row>
        <row r="4">
          <cell r="B4" t="str">
            <v>A</v>
          </cell>
          <cell r="C4" t="str">
            <v>Autobus</v>
          </cell>
        </row>
        <row r="5">
          <cell r="B5" t="str">
            <v>L</v>
          </cell>
          <cell r="C5" t="str">
            <v>Letadlo</v>
          </cell>
        </row>
        <row r="6">
          <cell r="B6" t="str">
            <v>SV</v>
          </cell>
          <cell r="C6" t="str">
            <v>Služební silniční vozidlo</v>
          </cell>
        </row>
        <row r="7">
          <cell r="B7" t="str">
            <v>SJ</v>
          </cell>
          <cell r="C7" t="str">
            <v>Spolujízda</v>
          </cell>
        </row>
        <row r="8">
          <cell r="B8" t="str">
            <v>VV</v>
          </cell>
          <cell r="C8" t="str">
            <v>Vlastní silniční vozidlo - náhrada za každý km jízdy</v>
          </cell>
        </row>
        <row r="9">
          <cell r="B9" t="str">
            <v>V - VV</v>
          </cell>
          <cell r="C9" t="str">
            <v>Vlastní vozidlo s náhradou výdajů za vlak</v>
          </cell>
        </row>
        <row r="10">
          <cell r="B10" t="str">
            <v>A - VV</v>
          </cell>
          <cell r="C10" t="str">
            <v>Vlastní vozidlo s náhradou výdajů za autobus</v>
          </cell>
        </row>
        <row r="11">
          <cell r="B11" t="str">
            <v>L - VV</v>
          </cell>
          <cell r="C11" t="str">
            <v>Vlastní vozidlo s náhradou výdajů za letadlo</v>
          </cell>
        </row>
      </sheetData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connectionId="1" xr16:uid="{0E14DCBA-D381-43AA-BF5D-2B48308E8360}" autoFormatId="16" applyNumberFormats="0" applyBorderFormats="0" applyFontFormats="0" applyPatternFormats="0" applyAlignmentFormats="0" applyWidthHeightFormats="0">
  <queryTableRefresh nextId="35">
    <queryTableFields count="34">
      <queryTableField id="1" name="Datum" tableColumnId="1"/>
      <queryTableField id="2" name="1 AUD" tableColumnId="2"/>
      <queryTableField id="3" name="1 BGN" tableColumnId="3"/>
      <queryTableField id="4" name="1 BRL" tableColumnId="4"/>
      <queryTableField id="5" name="1 CAD" tableColumnId="5"/>
      <queryTableField id="6" name="1 CHF" tableColumnId="6"/>
      <queryTableField id="7" name="1 CNY" tableColumnId="7"/>
      <queryTableField id="8" name="1 DKK" tableColumnId="8"/>
      <queryTableField id="9" name="1 EUR" tableColumnId="9"/>
      <queryTableField id="10" name="1 GBP" tableColumnId="10"/>
      <queryTableField id="11" name="1 HKD" tableColumnId="11"/>
      <queryTableField id="12" name="1 HRK" tableColumnId="12"/>
      <queryTableField id="13" name="100 HUF" tableColumnId="13"/>
      <queryTableField id="14" name="1000 IDR" tableColumnId="14"/>
      <queryTableField id="15" name="1 ILS" tableColumnId="15"/>
      <queryTableField id="16" name="100 INR" tableColumnId="16"/>
      <queryTableField id="17" name="100 ISK" tableColumnId="17"/>
      <queryTableField id="18" name="100 JPY" tableColumnId="18"/>
      <queryTableField id="19" name="100 KRW" tableColumnId="19"/>
      <queryTableField id="20" name="1 MXN" tableColumnId="20"/>
      <queryTableField id="21" name="1 MYR" tableColumnId="21"/>
      <queryTableField id="22" name="1 NOK" tableColumnId="22"/>
      <queryTableField id="23" name="1 NZD" tableColumnId="23"/>
      <queryTableField id="24" name="100 PHP" tableColumnId="24"/>
      <queryTableField id="25" name="1 PLN" tableColumnId="25"/>
      <queryTableField id="26" name="1 RON" tableColumnId="26"/>
      <queryTableField id="27" name="100 RUB" tableColumnId="27"/>
      <queryTableField id="28" name="1 SEK" tableColumnId="28"/>
      <queryTableField id="29" name="1 SGD" tableColumnId="29"/>
      <queryTableField id="30" name="100 THB" tableColumnId="30"/>
      <queryTableField id="31" name="1 TRY" tableColumnId="31"/>
      <queryTableField id="32" name="1 USD" tableColumnId="32"/>
      <queryTableField id="33" name="1 XDR" tableColumnId="33"/>
      <queryTableField id="34" name="1 ZAR" tableColumnId="3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FA49559-DC84-4B85-9299-834E66EEF69E}" name="rok" displayName="rok" ref="A1:AH166" tableType="queryTable" totalsRowShown="0">
  <tableColumns count="34">
    <tableColumn id="1" xr3:uid="{542B381D-1CF6-4B1B-BD66-F61AE5DBD666}" uniqueName="1" name="Datum" queryTableFieldId="1" dataDxfId="0"/>
    <tableColumn id="2" xr3:uid="{A824D279-BA89-445D-8E1B-2F568C9C086E}" uniqueName="2" name="1 AUD" queryTableFieldId="2"/>
    <tableColumn id="3" xr3:uid="{28C7441F-594D-4932-ACFB-F3E2827045BD}" uniqueName="3" name="1 BGN" queryTableFieldId="3"/>
    <tableColumn id="4" xr3:uid="{B7CB272C-9A19-42C4-9C61-6216080203EF}" uniqueName="4" name="1 BRL" queryTableFieldId="4"/>
    <tableColumn id="5" xr3:uid="{AC492D1E-D392-44BE-B4CC-6838E0315581}" uniqueName="5" name="1 CAD" queryTableFieldId="5"/>
    <tableColumn id="6" xr3:uid="{39E7A925-89EC-41D4-A2CD-D68A84004835}" uniqueName="6" name="1 CHF" queryTableFieldId="6"/>
    <tableColumn id="7" xr3:uid="{BC5F6CDE-F791-46B1-8CDE-696BC521DB0C}" uniqueName="7" name="1 CNY" queryTableFieldId="7"/>
    <tableColumn id="8" xr3:uid="{6E7243C3-7238-486D-8E1D-07DBC7B7DC27}" uniqueName="8" name="1 DKK" queryTableFieldId="8"/>
    <tableColumn id="9" xr3:uid="{93497FA3-6C8A-483B-AE26-09B08AAE9024}" uniqueName="9" name="1 EUR" queryTableFieldId="9"/>
    <tableColumn id="10" xr3:uid="{BFCCC62B-7BC8-4EC8-AA33-DFBF69FAC575}" uniqueName="10" name="1 GBP" queryTableFieldId="10"/>
    <tableColumn id="11" xr3:uid="{A342EEDC-2F9F-4C2D-9E96-B5D1DF77E57B}" uniqueName="11" name="1 HKD" queryTableFieldId="11"/>
    <tableColumn id="12" xr3:uid="{415AA821-9A3B-46F1-80A0-50611A396C46}" uniqueName="12" name="1 HRK" queryTableFieldId="12"/>
    <tableColumn id="13" xr3:uid="{A0FB1498-B54B-4E5E-8566-4C5EAD277470}" uniqueName="13" name="100 HUF" queryTableFieldId="13"/>
    <tableColumn id="14" xr3:uid="{FB1C8826-0E9A-427A-A3C7-15C064DF5254}" uniqueName="14" name="1000 IDR" queryTableFieldId="14"/>
    <tableColumn id="15" xr3:uid="{2F6406DD-DD79-4EEC-8A67-4EE6B7BCA597}" uniqueName="15" name="1 ILS" queryTableFieldId="15"/>
    <tableColumn id="16" xr3:uid="{B0A3E59E-1647-43F0-9563-142854CF1DC4}" uniqueName="16" name="100 INR" queryTableFieldId="16"/>
    <tableColumn id="17" xr3:uid="{698580FC-F319-4926-8664-7210D1E53DA5}" uniqueName="17" name="100 ISK" queryTableFieldId="17"/>
    <tableColumn id="18" xr3:uid="{93A69747-3FBE-40FC-8D60-E301FE87DD10}" uniqueName="18" name="100 JPY" queryTableFieldId="18"/>
    <tableColumn id="19" xr3:uid="{E7F5B22F-1137-499B-B93E-0455FAE90DFD}" uniqueName="19" name="100 KRW" queryTableFieldId="19"/>
    <tableColumn id="20" xr3:uid="{8DDBFCC1-5986-411D-9B5E-29E02E88E741}" uniqueName="20" name="1 MXN" queryTableFieldId="20"/>
    <tableColumn id="21" xr3:uid="{E92ECB11-C26C-4FEC-A736-FA5ECE047F2F}" uniqueName="21" name="1 MYR" queryTableFieldId="21"/>
    <tableColumn id="22" xr3:uid="{7D899EB7-3FF4-4B7F-8C46-366F0DD66C22}" uniqueName="22" name="1 NOK" queryTableFieldId="22"/>
    <tableColumn id="23" xr3:uid="{20A7D2D5-314E-418F-AA43-5BD0EFFE671A}" uniqueName="23" name="1 NZD" queryTableFieldId="23"/>
    <tableColumn id="24" xr3:uid="{8C461FB0-90F9-4853-8C66-D37CEBC04D95}" uniqueName="24" name="100 PHP" queryTableFieldId="24"/>
    <tableColumn id="25" xr3:uid="{D0B6FC6A-AD94-48DC-AD7F-A891C340044A}" uniqueName="25" name="1 PLN" queryTableFieldId="25"/>
    <tableColumn id="26" xr3:uid="{CAA7DB29-9890-44CF-A164-7ACE11BD2911}" uniqueName="26" name="1 RON" queryTableFieldId="26"/>
    <tableColumn id="27" xr3:uid="{94877D5D-C4CB-4336-9D1C-2349249F1A8B}" uniqueName="27" name="100 RUB" queryTableFieldId="27"/>
    <tableColumn id="28" xr3:uid="{C025C1B2-DDAF-47A8-A46E-57D8708A83DD}" uniqueName="28" name="1 SEK" queryTableFieldId="28"/>
    <tableColumn id="29" xr3:uid="{29B40848-F530-49FB-A4B4-DA63230C9CA6}" uniqueName="29" name="1 SGD" queryTableFieldId="29"/>
    <tableColumn id="30" xr3:uid="{75F8E24E-E4A4-4BE6-961C-0137C1EBD644}" uniqueName="30" name="100 THB" queryTableFieldId="30"/>
    <tableColumn id="31" xr3:uid="{9C08899B-636D-4D7B-98B5-DBAECCC27EE4}" uniqueName="31" name="1 TRY" queryTableFieldId="31"/>
    <tableColumn id="32" xr3:uid="{D005ACCF-359E-4BD1-9748-605A21085F14}" uniqueName="32" name="1 USD" queryTableFieldId="32"/>
    <tableColumn id="33" xr3:uid="{31FFE3DC-3D87-4F52-9EFF-FFBC81D35E25}" uniqueName="33" name="1 XDR" queryTableFieldId="33"/>
    <tableColumn id="34" xr3:uid="{986C6FBC-6870-43FE-813E-D08776EAF84D}" uniqueName="34" name="1 ZAR" queryTableFieldId="3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110FD-4267-4837-AB1B-4AA6D15D913C}">
  <sheetPr codeName="List4">
    <pageSetUpPr fitToPage="1"/>
  </sheetPr>
  <dimension ref="B1:AH80"/>
  <sheetViews>
    <sheetView showGridLines="0" showWhiteSpace="0" zoomScaleNormal="100" zoomScaleSheetLayoutView="115" zoomScalePageLayoutView="130" workbookViewId="0">
      <selection activeCell="D16" sqref="D16:R16"/>
    </sheetView>
  </sheetViews>
  <sheetFormatPr defaultRowHeight="15" x14ac:dyDescent="0.25"/>
  <cols>
    <col min="1" max="1" width="0.7109375" style="125" customWidth="1"/>
    <col min="2" max="2" width="7.42578125" style="125" customWidth="1"/>
    <col min="3" max="3" width="10.5703125" style="125" customWidth="1"/>
    <col min="4" max="4" width="8.85546875" style="125" customWidth="1"/>
    <col min="5" max="5" width="2.5703125" style="125" customWidth="1"/>
    <col min="6" max="7" width="6.28515625" style="125" customWidth="1"/>
    <col min="8" max="8" width="2.42578125" style="125" customWidth="1"/>
    <col min="9" max="9" width="5.5703125" style="125" customWidth="1"/>
    <col min="10" max="10" width="5.42578125" style="125" customWidth="1"/>
    <col min="11" max="11" width="7" style="125" customWidth="1"/>
    <col min="12" max="12" width="0.7109375" style="125" customWidth="1"/>
    <col min="13" max="13" width="5.5703125" style="125" customWidth="1"/>
    <col min="14" max="14" width="1.140625" style="125" customWidth="1"/>
    <col min="15" max="15" width="7.42578125" style="125" customWidth="1"/>
    <col min="16" max="16" width="7" style="125" customWidth="1"/>
    <col min="17" max="17" width="0.7109375" style="125" customWidth="1"/>
    <col min="18" max="18" width="12.28515625" style="125" customWidth="1"/>
    <col min="19" max="19" width="0.7109375" style="125" customWidth="1"/>
    <col min="20" max="20" width="10.28515625" style="125" hidden="1" customWidth="1"/>
    <col min="21" max="21" width="21.5703125" style="125" hidden="1" customWidth="1"/>
    <col min="22" max="22" width="7.140625" style="125" hidden="1" customWidth="1"/>
    <col min="23" max="23" width="11.140625" style="125" hidden="1" customWidth="1"/>
    <col min="24" max="24" width="11.140625" style="125" customWidth="1"/>
    <col min="25" max="25" width="16.42578125" style="126" customWidth="1"/>
    <col min="26" max="27" width="11.7109375" style="126" customWidth="1"/>
    <col min="28" max="28" width="18.140625" style="126" customWidth="1"/>
    <col min="29" max="33" width="11.7109375" style="126" hidden="1" customWidth="1"/>
    <col min="34" max="34" width="11.7109375" style="126" customWidth="1"/>
    <col min="35" max="266" width="9.140625" style="125"/>
    <col min="267" max="267" width="6.28515625" style="125" customWidth="1"/>
    <col min="268" max="268" width="5.140625" style="125" customWidth="1"/>
    <col min="269" max="269" width="8.5703125" style="125" customWidth="1"/>
    <col min="270" max="270" width="6.5703125" style="125" customWidth="1"/>
    <col min="271" max="271" width="7.28515625" style="125" customWidth="1"/>
    <col min="272" max="272" width="4.85546875" style="125" customWidth="1"/>
    <col min="273" max="273" width="5.85546875" style="125" customWidth="1"/>
    <col min="274" max="276" width="6.140625" style="125" customWidth="1"/>
    <col min="277" max="277" width="6.5703125" style="125" customWidth="1"/>
    <col min="278" max="278" width="6.7109375" style="125" customWidth="1"/>
    <col min="279" max="279" width="6.140625" style="125" customWidth="1"/>
    <col min="280" max="280" width="7.42578125" style="125" customWidth="1"/>
    <col min="281" max="281" width="7.140625" style="125" customWidth="1"/>
    <col min="282" max="522" width="9.140625" style="125"/>
    <col min="523" max="523" width="6.28515625" style="125" customWidth="1"/>
    <col min="524" max="524" width="5.140625" style="125" customWidth="1"/>
    <col min="525" max="525" width="8.5703125" style="125" customWidth="1"/>
    <col min="526" max="526" width="6.5703125" style="125" customWidth="1"/>
    <col min="527" max="527" width="7.28515625" style="125" customWidth="1"/>
    <col min="528" max="528" width="4.85546875" style="125" customWidth="1"/>
    <col min="529" max="529" width="5.85546875" style="125" customWidth="1"/>
    <col min="530" max="532" width="6.140625" style="125" customWidth="1"/>
    <col min="533" max="533" width="6.5703125" style="125" customWidth="1"/>
    <col min="534" max="534" width="6.7109375" style="125" customWidth="1"/>
    <col min="535" max="535" width="6.140625" style="125" customWidth="1"/>
    <col min="536" max="536" width="7.42578125" style="125" customWidth="1"/>
    <col min="537" max="537" width="7.140625" style="125" customWidth="1"/>
    <col min="538" max="778" width="9.140625" style="125"/>
    <col min="779" max="779" width="6.28515625" style="125" customWidth="1"/>
    <col min="780" max="780" width="5.140625" style="125" customWidth="1"/>
    <col min="781" max="781" width="8.5703125" style="125" customWidth="1"/>
    <col min="782" max="782" width="6.5703125" style="125" customWidth="1"/>
    <col min="783" max="783" width="7.28515625" style="125" customWidth="1"/>
    <col min="784" max="784" width="4.85546875" style="125" customWidth="1"/>
    <col min="785" max="785" width="5.85546875" style="125" customWidth="1"/>
    <col min="786" max="788" width="6.140625" style="125" customWidth="1"/>
    <col min="789" max="789" width="6.5703125" style="125" customWidth="1"/>
    <col min="790" max="790" width="6.7109375" style="125" customWidth="1"/>
    <col min="791" max="791" width="6.140625" style="125" customWidth="1"/>
    <col min="792" max="792" width="7.42578125" style="125" customWidth="1"/>
    <col min="793" max="793" width="7.140625" style="125" customWidth="1"/>
    <col min="794" max="1034" width="9.140625" style="125"/>
    <col min="1035" max="1035" width="6.28515625" style="125" customWidth="1"/>
    <col min="1036" max="1036" width="5.140625" style="125" customWidth="1"/>
    <col min="1037" max="1037" width="8.5703125" style="125" customWidth="1"/>
    <col min="1038" max="1038" width="6.5703125" style="125" customWidth="1"/>
    <col min="1039" max="1039" width="7.28515625" style="125" customWidth="1"/>
    <col min="1040" max="1040" width="4.85546875" style="125" customWidth="1"/>
    <col min="1041" max="1041" width="5.85546875" style="125" customWidth="1"/>
    <col min="1042" max="1044" width="6.140625" style="125" customWidth="1"/>
    <col min="1045" max="1045" width="6.5703125" style="125" customWidth="1"/>
    <col min="1046" max="1046" width="6.7109375" style="125" customWidth="1"/>
    <col min="1047" max="1047" width="6.140625" style="125" customWidth="1"/>
    <col min="1048" max="1048" width="7.42578125" style="125" customWidth="1"/>
    <col min="1049" max="1049" width="7.140625" style="125" customWidth="1"/>
    <col min="1050" max="1290" width="9.140625" style="125"/>
    <col min="1291" max="1291" width="6.28515625" style="125" customWidth="1"/>
    <col min="1292" max="1292" width="5.140625" style="125" customWidth="1"/>
    <col min="1293" max="1293" width="8.5703125" style="125" customWidth="1"/>
    <col min="1294" max="1294" width="6.5703125" style="125" customWidth="1"/>
    <col min="1295" max="1295" width="7.28515625" style="125" customWidth="1"/>
    <col min="1296" max="1296" width="4.85546875" style="125" customWidth="1"/>
    <col min="1297" max="1297" width="5.85546875" style="125" customWidth="1"/>
    <col min="1298" max="1300" width="6.140625" style="125" customWidth="1"/>
    <col min="1301" max="1301" width="6.5703125" style="125" customWidth="1"/>
    <col min="1302" max="1302" width="6.7109375" style="125" customWidth="1"/>
    <col min="1303" max="1303" width="6.140625" style="125" customWidth="1"/>
    <col min="1304" max="1304" width="7.42578125" style="125" customWidth="1"/>
    <col min="1305" max="1305" width="7.140625" style="125" customWidth="1"/>
    <col min="1306" max="1546" width="9.140625" style="125"/>
    <col min="1547" max="1547" width="6.28515625" style="125" customWidth="1"/>
    <col min="1548" max="1548" width="5.140625" style="125" customWidth="1"/>
    <col min="1549" max="1549" width="8.5703125" style="125" customWidth="1"/>
    <col min="1550" max="1550" width="6.5703125" style="125" customWidth="1"/>
    <col min="1551" max="1551" width="7.28515625" style="125" customWidth="1"/>
    <col min="1552" max="1552" width="4.85546875" style="125" customWidth="1"/>
    <col min="1553" max="1553" width="5.85546875" style="125" customWidth="1"/>
    <col min="1554" max="1556" width="6.140625" style="125" customWidth="1"/>
    <col min="1557" max="1557" width="6.5703125" style="125" customWidth="1"/>
    <col min="1558" max="1558" width="6.7109375" style="125" customWidth="1"/>
    <col min="1559" max="1559" width="6.140625" style="125" customWidth="1"/>
    <col min="1560" max="1560" width="7.42578125" style="125" customWidth="1"/>
    <col min="1561" max="1561" width="7.140625" style="125" customWidth="1"/>
    <col min="1562" max="1802" width="9.140625" style="125"/>
    <col min="1803" max="1803" width="6.28515625" style="125" customWidth="1"/>
    <col min="1804" max="1804" width="5.140625" style="125" customWidth="1"/>
    <col min="1805" max="1805" width="8.5703125" style="125" customWidth="1"/>
    <col min="1806" max="1806" width="6.5703125" style="125" customWidth="1"/>
    <col min="1807" max="1807" width="7.28515625" style="125" customWidth="1"/>
    <col min="1808" max="1808" width="4.85546875" style="125" customWidth="1"/>
    <col min="1809" max="1809" width="5.85546875" style="125" customWidth="1"/>
    <col min="1810" max="1812" width="6.140625" style="125" customWidth="1"/>
    <col min="1813" max="1813" width="6.5703125" style="125" customWidth="1"/>
    <col min="1814" max="1814" width="6.7109375" style="125" customWidth="1"/>
    <col min="1815" max="1815" width="6.140625" style="125" customWidth="1"/>
    <col min="1816" max="1816" width="7.42578125" style="125" customWidth="1"/>
    <col min="1817" max="1817" width="7.140625" style="125" customWidth="1"/>
    <col min="1818" max="2058" width="9.140625" style="125"/>
    <col min="2059" max="2059" width="6.28515625" style="125" customWidth="1"/>
    <col min="2060" max="2060" width="5.140625" style="125" customWidth="1"/>
    <col min="2061" max="2061" width="8.5703125" style="125" customWidth="1"/>
    <col min="2062" max="2062" width="6.5703125" style="125" customWidth="1"/>
    <col min="2063" max="2063" width="7.28515625" style="125" customWidth="1"/>
    <col min="2064" max="2064" width="4.85546875" style="125" customWidth="1"/>
    <col min="2065" max="2065" width="5.85546875" style="125" customWidth="1"/>
    <col min="2066" max="2068" width="6.140625" style="125" customWidth="1"/>
    <col min="2069" max="2069" width="6.5703125" style="125" customWidth="1"/>
    <col min="2070" max="2070" width="6.7109375" style="125" customWidth="1"/>
    <col min="2071" max="2071" width="6.140625" style="125" customWidth="1"/>
    <col min="2072" max="2072" width="7.42578125" style="125" customWidth="1"/>
    <col min="2073" max="2073" width="7.140625" style="125" customWidth="1"/>
    <col min="2074" max="2314" width="9.140625" style="125"/>
    <col min="2315" max="2315" width="6.28515625" style="125" customWidth="1"/>
    <col min="2316" max="2316" width="5.140625" style="125" customWidth="1"/>
    <col min="2317" max="2317" width="8.5703125" style="125" customWidth="1"/>
    <col min="2318" max="2318" width="6.5703125" style="125" customWidth="1"/>
    <col min="2319" max="2319" width="7.28515625" style="125" customWidth="1"/>
    <col min="2320" max="2320" width="4.85546875" style="125" customWidth="1"/>
    <col min="2321" max="2321" width="5.85546875" style="125" customWidth="1"/>
    <col min="2322" max="2324" width="6.140625" style="125" customWidth="1"/>
    <col min="2325" max="2325" width="6.5703125" style="125" customWidth="1"/>
    <col min="2326" max="2326" width="6.7109375" style="125" customWidth="1"/>
    <col min="2327" max="2327" width="6.140625" style="125" customWidth="1"/>
    <col min="2328" max="2328" width="7.42578125" style="125" customWidth="1"/>
    <col min="2329" max="2329" width="7.140625" style="125" customWidth="1"/>
    <col min="2330" max="2570" width="9.140625" style="125"/>
    <col min="2571" max="2571" width="6.28515625" style="125" customWidth="1"/>
    <col min="2572" max="2572" width="5.140625" style="125" customWidth="1"/>
    <col min="2573" max="2573" width="8.5703125" style="125" customWidth="1"/>
    <col min="2574" max="2574" width="6.5703125" style="125" customWidth="1"/>
    <col min="2575" max="2575" width="7.28515625" style="125" customWidth="1"/>
    <col min="2576" max="2576" width="4.85546875" style="125" customWidth="1"/>
    <col min="2577" max="2577" width="5.85546875" style="125" customWidth="1"/>
    <col min="2578" max="2580" width="6.140625" style="125" customWidth="1"/>
    <col min="2581" max="2581" width="6.5703125" style="125" customWidth="1"/>
    <col min="2582" max="2582" width="6.7109375" style="125" customWidth="1"/>
    <col min="2583" max="2583" width="6.140625" style="125" customWidth="1"/>
    <col min="2584" max="2584" width="7.42578125" style="125" customWidth="1"/>
    <col min="2585" max="2585" width="7.140625" style="125" customWidth="1"/>
    <col min="2586" max="2826" width="9.140625" style="125"/>
    <col min="2827" max="2827" width="6.28515625" style="125" customWidth="1"/>
    <col min="2828" max="2828" width="5.140625" style="125" customWidth="1"/>
    <col min="2829" max="2829" width="8.5703125" style="125" customWidth="1"/>
    <col min="2830" max="2830" width="6.5703125" style="125" customWidth="1"/>
    <col min="2831" max="2831" width="7.28515625" style="125" customWidth="1"/>
    <col min="2832" max="2832" width="4.85546875" style="125" customWidth="1"/>
    <col min="2833" max="2833" width="5.85546875" style="125" customWidth="1"/>
    <col min="2834" max="2836" width="6.140625" style="125" customWidth="1"/>
    <col min="2837" max="2837" width="6.5703125" style="125" customWidth="1"/>
    <col min="2838" max="2838" width="6.7109375" style="125" customWidth="1"/>
    <col min="2839" max="2839" width="6.140625" style="125" customWidth="1"/>
    <col min="2840" max="2840" width="7.42578125" style="125" customWidth="1"/>
    <col min="2841" max="2841" width="7.140625" style="125" customWidth="1"/>
    <col min="2842" max="3082" width="9.140625" style="125"/>
    <col min="3083" max="3083" width="6.28515625" style="125" customWidth="1"/>
    <col min="3084" max="3084" width="5.140625" style="125" customWidth="1"/>
    <col min="3085" max="3085" width="8.5703125" style="125" customWidth="1"/>
    <col min="3086" max="3086" width="6.5703125" style="125" customWidth="1"/>
    <col min="3087" max="3087" width="7.28515625" style="125" customWidth="1"/>
    <col min="3088" max="3088" width="4.85546875" style="125" customWidth="1"/>
    <col min="3089" max="3089" width="5.85546875" style="125" customWidth="1"/>
    <col min="3090" max="3092" width="6.140625" style="125" customWidth="1"/>
    <col min="3093" max="3093" width="6.5703125" style="125" customWidth="1"/>
    <col min="3094" max="3094" width="6.7109375" style="125" customWidth="1"/>
    <col min="3095" max="3095" width="6.140625" style="125" customWidth="1"/>
    <col min="3096" max="3096" width="7.42578125" style="125" customWidth="1"/>
    <col min="3097" max="3097" width="7.140625" style="125" customWidth="1"/>
    <col min="3098" max="3338" width="9.140625" style="125"/>
    <col min="3339" max="3339" width="6.28515625" style="125" customWidth="1"/>
    <col min="3340" max="3340" width="5.140625" style="125" customWidth="1"/>
    <col min="3341" max="3341" width="8.5703125" style="125" customWidth="1"/>
    <col min="3342" max="3342" width="6.5703125" style="125" customWidth="1"/>
    <col min="3343" max="3343" width="7.28515625" style="125" customWidth="1"/>
    <col min="3344" max="3344" width="4.85546875" style="125" customWidth="1"/>
    <col min="3345" max="3345" width="5.85546875" style="125" customWidth="1"/>
    <col min="3346" max="3348" width="6.140625" style="125" customWidth="1"/>
    <col min="3349" max="3349" width="6.5703125" style="125" customWidth="1"/>
    <col min="3350" max="3350" width="6.7109375" style="125" customWidth="1"/>
    <col min="3351" max="3351" width="6.140625" style="125" customWidth="1"/>
    <col min="3352" max="3352" width="7.42578125" style="125" customWidth="1"/>
    <col min="3353" max="3353" width="7.140625" style="125" customWidth="1"/>
    <col min="3354" max="3594" width="9.140625" style="125"/>
    <col min="3595" max="3595" width="6.28515625" style="125" customWidth="1"/>
    <col min="3596" max="3596" width="5.140625" style="125" customWidth="1"/>
    <col min="3597" max="3597" width="8.5703125" style="125" customWidth="1"/>
    <col min="3598" max="3598" width="6.5703125" style="125" customWidth="1"/>
    <col min="3599" max="3599" width="7.28515625" style="125" customWidth="1"/>
    <col min="3600" max="3600" width="4.85546875" style="125" customWidth="1"/>
    <col min="3601" max="3601" width="5.85546875" style="125" customWidth="1"/>
    <col min="3602" max="3604" width="6.140625" style="125" customWidth="1"/>
    <col min="3605" max="3605" width="6.5703125" style="125" customWidth="1"/>
    <col min="3606" max="3606" width="6.7109375" style="125" customWidth="1"/>
    <col min="3607" max="3607" width="6.140625" style="125" customWidth="1"/>
    <col min="3608" max="3608" width="7.42578125" style="125" customWidth="1"/>
    <col min="3609" max="3609" width="7.140625" style="125" customWidth="1"/>
    <col min="3610" max="3850" width="9.140625" style="125"/>
    <col min="3851" max="3851" width="6.28515625" style="125" customWidth="1"/>
    <col min="3852" max="3852" width="5.140625" style="125" customWidth="1"/>
    <col min="3853" max="3853" width="8.5703125" style="125" customWidth="1"/>
    <col min="3854" max="3854" width="6.5703125" style="125" customWidth="1"/>
    <col min="3855" max="3855" width="7.28515625" style="125" customWidth="1"/>
    <col min="3856" max="3856" width="4.85546875" style="125" customWidth="1"/>
    <col min="3857" max="3857" width="5.85546875" style="125" customWidth="1"/>
    <col min="3858" max="3860" width="6.140625" style="125" customWidth="1"/>
    <col min="3861" max="3861" width="6.5703125" style="125" customWidth="1"/>
    <col min="3862" max="3862" width="6.7109375" style="125" customWidth="1"/>
    <col min="3863" max="3863" width="6.140625" style="125" customWidth="1"/>
    <col min="3864" max="3864" width="7.42578125" style="125" customWidth="1"/>
    <col min="3865" max="3865" width="7.140625" style="125" customWidth="1"/>
    <col min="3866" max="4106" width="9.140625" style="125"/>
    <col min="4107" max="4107" width="6.28515625" style="125" customWidth="1"/>
    <col min="4108" max="4108" width="5.140625" style="125" customWidth="1"/>
    <col min="4109" max="4109" width="8.5703125" style="125" customWidth="1"/>
    <col min="4110" max="4110" width="6.5703125" style="125" customWidth="1"/>
    <col min="4111" max="4111" width="7.28515625" style="125" customWidth="1"/>
    <col min="4112" max="4112" width="4.85546875" style="125" customWidth="1"/>
    <col min="4113" max="4113" width="5.85546875" style="125" customWidth="1"/>
    <col min="4114" max="4116" width="6.140625" style="125" customWidth="1"/>
    <col min="4117" max="4117" width="6.5703125" style="125" customWidth="1"/>
    <col min="4118" max="4118" width="6.7109375" style="125" customWidth="1"/>
    <col min="4119" max="4119" width="6.140625" style="125" customWidth="1"/>
    <col min="4120" max="4120" width="7.42578125" style="125" customWidth="1"/>
    <col min="4121" max="4121" width="7.140625" style="125" customWidth="1"/>
    <col min="4122" max="4362" width="9.140625" style="125"/>
    <col min="4363" max="4363" width="6.28515625" style="125" customWidth="1"/>
    <col min="4364" max="4364" width="5.140625" style="125" customWidth="1"/>
    <col min="4365" max="4365" width="8.5703125" style="125" customWidth="1"/>
    <col min="4366" max="4366" width="6.5703125" style="125" customWidth="1"/>
    <col min="4367" max="4367" width="7.28515625" style="125" customWidth="1"/>
    <col min="4368" max="4368" width="4.85546875" style="125" customWidth="1"/>
    <col min="4369" max="4369" width="5.85546875" style="125" customWidth="1"/>
    <col min="4370" max="4372" width="6.140625" style="125" customWidth="1"/>
    <col min="4373" max="4373" width="6.5703125" style="125" customWidth="1"/>
    <col min="4374" max="4374" width="6.7109375" style="125" customWidth="1"/>
    <col min="4375" max="4375" width="6.140625" style="125" customWidth="1"/>
    <col min="4376" max="4376" width="7.42578125" style="125" customWidth="1"/>
    <col min="4377" max="4377" width="7.140625" style="125" customWidth="1"/>
    <col min="4378" max="4618" width="9.140625" style="125"/>
    <col min="4619" max="4619" width="6.28515625" style="125" customWidth="1"/>
    <col min="4620" max="4620" width="5.140625" style="125" customWidth="1"/>
    <col min="4621" max="4621" width="8.5703125" style="125" customWidth="1"/>
    <col min="4622" max="4622" width="6.5703125" style="125" customWidth="1"/>
    <col min="4623" max="4623" width="7.28515625" style="125" customWidth="1"/>
    <col min="4624" max="4624" width="4.85546875" style="125" customWidth="1"/>
    <col min="4625" max="4625" width="5.85546875" style="125" customWidth="1"/>
    <col min="4626" max="4628" width="6.140625" style="125" customWidth="1"/>
    <col min="4629" max="4629" width="6.5703125" style="125" customWidth="1"/>
    <col min="4630" max="4630" width="6.7109375" style="125" customWidth="1"/>
    <col min="4631" max="4631" width="6.140625" style="125" customWidth="1"/>
    <col min="4632" max="4632" width="7.42578125" style="125" customWidth="1"/>
    <col min="4633" max="4633" width="7.140625" style="125" customWidth="1"/>
    <col min="4634" max="4874" width="9.140625" style="125"/>
    <col min="4875" max="4875" width="6.28515625" style="125" customWidth="1"/>
    <col min="4876" max="4876" width="5.140625" style="125" customWidth="1"/>
    <col min="4877" max="4877" width="8.5703125" style="125" customWidth="1"/>
    <col min="4878" max="4878" width="6.5703125" style="125" customWidth="1"/>
    <col min="4879" max="4879" width="7.28515625" style="125" customWidth="1"/>
    <col min="4880" max="4880" width="4.85546875" style="125" customWidth="1"/>
    <col min="4881" max="4881" width="5.85546875" style="125" customWidth="1"/>
    <col min="4882" max="4884" width="6.140625" style="125" customWidth="1"/>
    <col min="4885" max="4885" width="6.5703125" style="125" customWidth="1"/>
    <col min="4886" max="4886" width="6.7109375" style="125" customWidth="1"/>
    <col min="4887" max="4887" width="6.140625" style="125" customWidth="1"/>
    <col min="4888" max="4888" width="7.42578125" style="125" customWidth="1"/>
    <col min="4889" max="4889" width="7.140625" style="125" customWidth="1"/>
    <col min="4890" max="5130" width="9.140625" style="125"/>
    <col min="5131" max="5131" width="6.28515625" style="125" customWidth="1"/>
    <col min="5132" max="5132" width="5.140625" style="125" customWidth="1"/>
    <col min="5133" max="5133" width="8.5703125" style="125" customWidth="1"/>
    <col min="5134" max="5134" width="6.5703125" style="125" customWidth="1"/>
    <col min="5135" max="5135" width="7.28515625" style="125" customWidth="1"/>
    <col min="5136" max="5136" width="4.85546875" style="125" customWidth="1"/>
    <col min="5137" max="5137" width="5.85546875" style="125" customWidth="1"/>
    <col min="5138" max="5140" width="6.140625" style="125" customWidth="1"/>
    <col min="5141" max="5141" width="6.5703125" style="125" customWidth="1"/>
    <col min="5142" max="5142" width="6.7109375" style="125" customWidth="1"/>
    <col min="5143" max="5143" width="6.140625" style="125" customWidth="1"/>
    <col min="5144" max="5144" width="7.42578125" style="125" customWidth="1"/>
    <col min="5145" max="5145" width="7.140625" style="125" customWidth="1"/>
    <col min="5146" max="5386" width="9.140625" style="125"/>
    <col min="5387" max="5387" width="6.28515625" style="125" customWidth="1"/>
    <col min="5388" max="5388" width="5.140625" style="125" customWidth="1"/>
    <col min="5389" max="5389" width="8.5703125" style="125" customWidth="1"/>
    <col min="5390" max="5390" width="6.5703125" style="125" customWidth="1"/>
    <col min="5391" max="5391" width="7.28515625" style="125" customWidth="1"/>
    <col min="5392" max="5392" width="4.85546875" style="125" customWidth="1"/>
    <col min="5393" max="5393" width="5.85546875" style="125" customWidth="1"/>
    <col min="5394" max="5396" width="6.140625" style="125" customWidth="1"/>
    <col min="5397" max="5397" width="6.5703125" style="125" customWidth="1"/>
    <col min="5398" max="5398" width="6.7109375" style="125" customWidth="1"/>
    <col min="5399" max="5399" width="6.140625" style="125" customWidth="1"/>
    <col min="5400" max="5400" width="7.42578125" style="125" customWidth="1"/>
    <col min="5401" max="5401" width="7.140625" style="125" customWidth="1"/>
    <col min="5402" max="5642" width="9.140625" style="125"/>
    <col min="5643" max="5643" width="6.28515625" style="125" customWidth="1"/>
    <col min="5644" max="5644" width="5.140625" style="125" customWidth="1"/>
    <col min="5645" max="5645" width="8.5703125" style="125" customWidth="1"/>
    <col min="5646" max="5646" width="6.5703125" style="125" customWidth="1"/>
    <col min="5647" max="5647" width="7.28515625" style="125" customWidth="1"/>
    <col min="5648" max="5648" width="4.85546875" style="125" customWidth="1"/>
    <col min="5649" max="5649" width="5.85546875" style="125" customWidth="1"/>
    <col min="5650" max="5652" width="6.140625" style="125" customWidth="1"/>
    <col min="5653" max="5653" width="6.5703125" style="125" customWidth="1"/>
    <col min="5654" max="5654" width="6.7109375" style="125" customWidth="1"/>
    <col min="5655" max="5655" width="6.140625" style="125" customWidth="1"/>
    <col min="5656" max="5656" width="7.42578125" style="125" customWidth="1"/>
    <col min="5657" max="5657" width="7.140625" style="125" customWidth="1"/>
    <col min="5658" max="5898" width="9.140625" style="125"/>
    <col min="5899" max="5899" width="6.28515625" style="125" customWidth="1"/>
    <col min="5900" max="5900" width="5.140625" style="125" customWidth="1"/>
    <col min="5901" max="5901" width="8.5703125" style="125" customWidth="1"/>
    <col min="5902" max="5902" width="6.5703125" style="125" customWidth="1"/>
    <col min="5903" max="5903" width="7.28515625" style="125" customWidth="1"/>
    <col min="5904" max="5904" width="4.85546875" style="125" customWidth="1"/>
    <col min="5905" max="5905" width="5.85546875" style="125" customWidth="1"/>
    <col min="5906" max="5908" width="6.140625" style="125" customWidth="1"/>
    <col min="5909" max="5909" width="6.5703125" style="125" customWidth="1"/>
    <col min="5910" max="5910" width="6.7109375" style="125" customWidth="1"/>
    <col min="5911" max="5911" width="6.140625" style="125" customWidth="1"/>
    <col min="5912" max="5912" width="7.42578125" style="125" customWidth="1"/>
    <col min="5913" max="5913" width="7.140625" style="125" customWidth="1"/>
    <col min="5914" max="6154" width="9.140625" style="125"/>
    <col min="6155" max="6155" width="6.28515625" style="125" customWidth="1"/>
    <col min="6156" max="6156" width="5.140625" style="125" customWidth="1"/>
    <col min="6157" max="6157" width="8.5703125" style="125" customWidth="1"/>
    <col min="6158" max="6158" width="6.5703125" style="125" customWidth="1"/>
    <col min="6159" max="6159" width="7.28515625" style="125" customWidth="1"/>
    <col min="6160" max="6160" width="4.85546875" style="125" customWidth="1"/>
    <col min="6161" max="6161" width="5.85546875" style="125" customWidth="1"/>
    <col min="6162" max="6164" width="6.140625" style="125" customWidth="1"/>
    <col min="6165" max="6165" width="6.5703125" style="125" customWidth="1"/>
    <col min="6166" max="6166" width="6.7109375" style="125" customWidth="1"/>
    <col min="6167" max="6167" width="6.140625" style="125" customWidth="1"/>
    <col min="6168" max="6168" width="7.42578125" style="125" customWidth="1"/>
    <col min="6169" max="6169" width="7.140625" style="125" customWidth="1"/>
    <col min="6170" max="6410" width="9.140625" style="125"/>
    <col min="6411" max="6411" width="6.28515625" style="125" customWidth="1"/>
    <col min="6412" max="6412" width="5.140625" style="125" customWidth="1"/>
    <col min="6413" max="6413" width="8.5703125" style="125" customWidth="1"/>
    <col min="6414" max="6414" width="6.5703125" style="125" customWidth="1"/>
    <col min="6415" max="6415" width="7.28515625" style="125" customWidth="1"/>
    <col min="6416" max="6416" width="4.85546875" style="125" customWidth="1"/>
    <col min="6417" max="6417" width="5.85546875" style="125" customWidth="1"/>
    <col min="6418" max="6420" width="6.140625" style="125" customWidth="1"/>
    <col min="6421" max="6421" width="6.5703125" style="125" customWidth="1"/>
    <col min="6422" max="6422" width="6.7109375" style="125" customWidth="1"/>
    <col min="6423" max="6423" width="6.140625" style="125" customWidth="1"/>
    <col min="6424" max="6424" width="7.42578125" style="125" customWidth="1"/>
    <col min="6425" max="6425" width="7.140625" style="125" customWidth="1"/>
    <col min="6426" max="6666" width="9.140625" style="125"/>
    <col min="6667" max="6667" width="6.28515625" style="125" customWidth="1"/>
    <col min="6668" max="6668" width="5.140625" style="125" customWidth="1"/>
    <col min="6669" max="6669" width="8.5703125" style="125" customWidth="1"/>
    <col min="6670" max="6670" width="6.5703125" style="125" customWidth="1"/>
    <col min="6671" max="6671" width="7.28515625" style="125" customWidth="1"/>
    <col min="6672" max="6672" width="4.85546875" style="125" customWidth="1"/>
    <col min="6673" max="6673" width="5.85546875" style="125" customWidth="1"/>
    <col min="6674" max="6676" width="6.140625" style="125" customWidth="1"/>
    <col min="6677" max="6677" width="6.5703125" style="125" customWidth="1"/>
    <col min="6678" max="6678" width="6.7109375" style="125" customWidth="1"/>
    <col min="6679" max="6679" width="6.140625" style="125" customWidth="1"/>
    <col min="6680" max="6680" width="7.42578125" style="125" customWidth="1"/>
    <col min="6681" max="6681" width="7.140625" style="125" customWidth="1"/>
    <col min="6682" max="6922" width="9.140625" style="125"/>
    <col min="6923" max="6923" width="6.28515625" style="125" customWidth="1"/>
    <col min="6924" max="6924" width="5.140625" style="125" customWidth="1"/>
    <col min="6925" max="6925" width="8.5703125" style="125" customWidth="1"/>
    <col min="6926" max="6926" width="6.5703125" style="125" customWidth="1"/>
    <col min="6927" max="6927" width="7.28515625" style="125" customWidth="1"/>
    <col min="6928" max="6928" width="4.85546875" style="125" customWidth="1"/>
    <col min="6929" max="6929" width="5.85546875" style="125" customWidth="1"/>
    <col min="6930" max="6932" width="6.140625" style="125" customWidth="1"/>
    <col min="6933" max="6933" width="6.5703125" style="125" customWidth="1"/>
    <col min="6934" max="6934" width="6.7109375" style="125" customWidth="1"/>
    <col min="6935" max="6935" width="6.140625" style="125" customWidth="1"/>
    <col min="6936" max="6936" width="7.42578125" style="125" customWidth="1"/>
    <col min="6937" max="6937" width="7.140625" style="125" customWidth="1"/>
    <col min="6938" max="7178" width="9.140625" style="125"/>
    <col min="7179" max="7179" width="6.28515625" style="125" customWidth="1"/>
    <col min="7180" max="7180" width="5.140625" style="125" customWidth="1"/>
    <col min="7181" max="7181" width="8.5703125" style="125" customWidth="1"/>
    <col min="7182" max="7182" width="6.5703125" style="125" customWidth="1"/>
    <col min="7183" max="7183" width="7.28515625" style="125" customWidth="1"/>
    <col min="7184" max="7184" width="4.85546875" style="125" customWidth="1"/>
    <col min="7185" max="7185" width="5.85546875" style="125" customWidth="1"/>
    <col min="7186" max="7188" width="6.140625" style="125" customWidth="1"/>
    <col min="7189" max="7189" width="6.5703125" style="125" customWidth="1"/>
    <col min="7190" max="7190" width="6.7109375" style="125" customWidth="1"/>
    <col min="7191" max="7191" width="6.140625" style="125" customWidth="1"/>
    <col min="7192" max="7192" width="7.42578125" style="125" customWidth="1"/>
    <col min="7193" max="7193" width="7.140625" style="125" customWidth="1"/>
    <col min="7194" max="7434" width="9.140625" style="125"/>
    <col min="7435" max="7435" width="6.28515625" style="125" customWidth="1"/>
    <col min="7436" max="7436" width="5.140625" style="125" customWidth="1"/>
    <col min="7437" max="7437" width="8.5703125" style="125" customWidth="1"/>
    <col min="7438" max="7438" width="6.5703125" style="125" customWidth="1"/>
    <col min="7439" max="7439" width="7.28515625" style="125" customWidth="1"/>
    <col min="7440" max="7440" width="4.85546875" style="125" customWidth="1"/>
    <col min="7441" max="7441" width="5.85546875" style="125" customWidth="1"/>
    <col min="7442" max="7444" width="6.140625" style="125" customWidth="1"/>
    <col min="7445" max="7445" width="6.5703125" style="125" customWidth="1"/>
    <col min="7446" max="7446" width="6.7109375" style="125" customWidth="1"/>
    <col min="7447" max="7447" width="6.140625" style="125" customWidth="1"/>
    <col min="7448" max="7448" width="7.42578125" style="125" customWidth="1"/>
    <col min="7449" max="7449" width="7.140625" style="125" customWidth="1"/>
    <col min="7450" max="7690" width="9.140625" style="125"/>
    <col min="7691" max="7691" width="6.28515625" style="125" customWidth="1"/>
    <col min="7692" max="7692" width="5.140625" style="125" customWidth="1"/>
    <col min="7693" max="7693" width="8.5703125" style="125" customWidth="1"/>
    <col min="7694" max="7694" width="6.5703125" style="125" customWidth="1"/>
    <col min="7695" max="7695" width="7.28515625" style="125" customWidth="1"/>
    <col min="7696" max="7696" width="4.85546875" style="125" customWidth="1"/>
    <col min="7697" max="7697" width="5.85546875" style="125" customWidth="1"/>
    <col min="7698" max="7700" width="6.140625" style="125" customWidth="1"/>
    <col min="7701" max="7701" width="6.5703125" style="125" customWidth="1"/>
    <col min="7702" max="7702" width="6.7109375" style="125" customWidth="1"/>
    <col min="7703" max="7703" width="6.140625" style="125" customWidth="1"/>
    <col min="7704" max="7704" width="7.42578125" style="125" customWidth="1"/>
    <col min="7705" max="7705" width="7.140625" style="125" customWidth="1"/>
    <col min="7706" max="7946" width="9.140625" style="125"/>
    <col min="7947" max="7947" width="6.28515625" style="125" customWidth="1"/>
    <col min="7948" max="7948" width="5.140625" style="125" customWidth="1"/>
    <col min="7949" max="7949" width="8.5703125" style="125" customWidth="1"/>
    <col min="7950" max="7950" width="6.5703125" style="125" customWidth="1"/>
    <col min="7951" max="7951" width="7.28515625" style="125" customWidth="1"/>
    <col min="7952" max="7952" width="4.85546875" style="125" customWidth="1"/>
    <col min="7953" max="7953" width="5.85546875" style="125" customWidth="1"/>
    <col min="7954" max="7956" width="6.140625" style="125" customWidth="1"/>
    <col min="7957" max="7957" width="6.5703125" style="125" customWidth="1"/>
    <col min="7958" max="7958" width="6.7109375" style="125" customWidth="1"/>
    <col min="7959" max="7959" width="6.140625" style="125" customWidth="1"/>
    <col min="7960" max="7960" width="7.42578125" style="125" customWidth="1"/>
    <col min="7961" max="7961" width="7.140625" style="125" customWidth="1"/>
    <col min="7962" max="8202" width="9.140625" style="125"/>
    <col min="8203" max="8203" width="6.28515625" style="125" customWidth="1"/>
    <col min="8204" max="8204" width="5.140625" style="125" customWidth="1"/>
    <col min="8205" max="8205" width="8.5703125" style="125" customWidth="1"/>
    <col min="8206" max="8206" width="6.5703125" style="125" customWidth="1"/>
    <col min="8207" max="8207" width="7.28515625" style="125" customWidth="1"/>
    <col min="8208" max="8208" width="4.85546875" style="125" customWidth="1"/>
    <col min="8209" max="8209" width="5.85546875" style="125" customWidth="1"/>
    <col min="8210" max="8212" width="6.140625" style="125" customWidth="1"/>
    <col min="8213" max="8213" width="6.5703125" style="125" customWidth="1"/>
    <col min="8214" max="8214" width="6.7109375" style="125" customWidth="1"/>
    <col min="8215" max="8215" width="6.140625" style="125" customWidth="1"/>
    <col min="8216" max="8216" width="7.42578125" style="125" customWidth="1"/>
    <col min="8217" max="8217" width="7.140625" style="125" customWidth="1"/>
    <col min="8218" max="8458" width="9.140625" style="125"/>
    <col min="8459" max="8459" width="6.28515625" style="125" customWidth="1"/>
    <col min="8460" max="8460" width="5.140625" style="125" customWidth="1"/>
    <col min="8461" max="8461" width="8.5703125" style="125" customWidth="1"/>
    <col min="8462" max="8462" width="6.5703125" style="125" customWidth="1"/>
    <col min="8463" max="8463" width="7.28515625" style="125" customWidth="1"/>
    <col min="8464" max="8464" width="4.85546875" style="125" customWidth="1"/>
    <col min="8465" max="8465" width="5.85546875" style="125" customWidth="1"/>
    <col min="8466" max="8468" width="6.140625" style="125" customWidth="1"/>
    <col min="8469" max="8469" width="6.5703125" style="125" customWidth="1"/>
    <col min="8470" max="8470" width="6.7109375" style="125" customWidth="1"/>
    <col min="8471" max="8471" width="6.140625" style="125" customWidth="1"/>
    <col min="8472" max="8472" width="7.42578125" style="125" customWidth="1"/>
    <col min="8473" max="8473" width="7.140625" style="125" customWidth="1"/>
    <col min="8474" max="8714" width="9.140625" style="125"/>
    <col min="8715" max="8715" width="6.28515625" style="125" customWidth="1"/>
    <col min="8716" max="8716" width="5.140625" style="125" customWidth="1"/>
    <col min="8717" max="8717" width="8.5703125" style="125" customWidth="1"/>
    <col min="8718" max="8718" width="6.5703125" style="125" customWidth="1"/>
    <col min="8719" max="8719" width="7.28515625" style="125" customWidth="1"/>
    <col min="8720" max="8720" width="4.85546875" style="125" customWidth="1"/>
    <col min="8721" max="8721" width="5.85546875" style="125" customWidth="1"/>
    <col min="8722" max="8724" width="6.140625" style="125" customWidth="1"/>
    <col min="8725" max="8725" width="6.5703125" style="125" customWidth="1"/>
    <col min="8726" max="8726" width="6.7109375" style="125" customWidth="1"/>
    <col min="8727" max="8727" width="6.140625" style="125" customWidth="1"/>
    <col min="8728" max="8728" width="7.42578125" style="125" customWidth="1"/>
    <col min="8729" max="8729" width="7.140625" style="125" customWidth="1"/>
    <col min="8730" max="8970" width="9.140625" style="125"/>
    <col min="8971" max="8971" width="6.28515625" style="125" customWidth="1"/>
    <col min="8972" max="8972" width="5.140625" style="125" customWidth="1"/>
    <col min="8973" max="8973" width="8.5703125" style="125" customWidth="1"/>
    <col min="8974" max="8974" width="6.5703125" style="125" customWidth="1"/>
    <col min="8975" max="8975" width="7.28515625" style="125" customWidth="1"/>
    <col min="8976" max="8976" width="4.85546875" style="125" customWidth="1"/>
    <col min="8977" max="8977" width="5.85546875" style="125" customWidth="1"/>
    <col min="8978" max="8980" width="6.140625" style="125" customWidth="1"/>
    <col min="8981" max="8981" width="6.5703125" style="125" customWidth="1"/>
    <col min="8982" max="8982" width="6.7109375" style="125" customWidth="1"/>
    <col min="8983" max="8983" width="6.140625" style="125" customWidth="1"/>
    <col min="8984" max="8984" width="7.42578125" style="125" customWidth="1"/>
    <col min="8985" max="8985" width="7.140625" style="125" customWidth="1"/>
    <col min="8986" max="9226" width="9.140625" style="125"/>
    <col min="9227" max="9227" width="6.28515625" style="125" customWidth="1"/>
    <col min="9228" max="9228" width="5.140625" style="125" customWidth="1"/>
    <col min="9229" max="9229" width="8.5703125" style="125" customWidth="1"/>
    <col min="9230" max="9230" width="6.5703125" style="125" customWidth="1"/>
    <col min="9231" max="9231" width="7.28515625" style="125" customWidth="1"/>
    <col min="9232" max="9232" width="4.85546875" style="125" customWidth="1"/>
    <col min="9233" max="9233" width="5.85546875" style="125" customWidth="1"/>
    <col min="9234" max="9236" width="6.140625" style="125" customWidth="1"/>
    <col min="9237" max="9237" width="6.5703125" style="125" customWidth="1"/>
    <col min="9238" max="9238" width="6.7109375" style="125" customWidth="1"/>
    <col min="9239" max="9239" width="6.140625" style="125" customWidth="1"/>
    <col min="9240" max="9240" width="7.42578125" style="125" customWidth="1"/>
    <col min="9241" max="9241" width="7.140625" style="125" customWidth="1"/>
    <col min="9242" max="9482" width="9.140625" style="125"/>
    <col min="9483" max="9483" width="6.28515625" style="125" customWidth="1"/>
    <col min="9484" max="9484" width="5.140625" style="125" customWidth="1"/>
    <col min="9485" max="9485" width="8.5703125" style="125" customWidth="1"/>
    <col min="9486" max="9486" width="6.5703125" style="125" customWidth="1"/>
    <col min="9487" max="9487" width="7.28515625" style="125" customWidth="1"/>
    <col min="9488" max="9488" width="4.85546875" style="125" customWidth="1"/>
    <col min="9489" max="9489" width="5.85546875" style="125" customWidth="1"/>
    <col min="9490" max="9492" width="6.140625" style="125" customWidth="1"/>
    <col min="9493" max="9493" width="6.5703125" style="125" customWidth="1"/>
    <col min="9494" max="9494" width="6.7109375" style="125" customWidth="1"/>
    <col min="9495" max="9495" width="6.140625" style="125" customWidth="1"/>
    <col min="9496" max="9496" width="7.42578125" style="125" customWidth="1"/>
    <col min="9497" max="9497" width="7.140625" style="125" customWidth="1"/>
    <col min="9498" max="9738" width="9.140625" style="125"/>
    <col min="9739" max="9739" width="6.28515625" style="125" customWidth="1"/>
    <col min="9740" max="9740" width="5.140625" style="125" customWidth="1"/>
    <col min="9741" max="9741" width="8.5703125" style="125" customWidth="1"/>
    <col min="9742" max="9742" width="6.5703125" style="125" customWidth="1"/>
    <col min="9743" max="9743" width="7.28515625" style="125" customWidth="1"/>
    <col min="9744" max="9744" width="4.85546875" style="125" customWidth="1"/>
    <col min="9745" max="9745" width="5.85546875" style="125" customWidth="1"/>
    <col min="9746" max="9748" width="6.140625" style="125" customWidth="1"/>
    <col min="9749" max="9749" width="6.5703125" style="125" customWidth="1"/>
    <col min="9750" max="9750" width="6.7109375" style="125" customWidth="1"/>
    <col min="9751" max="9751" width="6.140625" style="125" customWidth="1"/>
    <col min="9752" max="9752" width="7.42578125" style="125" customWidth="1"/>
    <col min="9753" max="9753" width="7.140625" style="125" customWidth="1"/>
    <col min="9754" max="9994" width="9.140625" style="125"/>
    <col min="9995" max="9995" width="6.28515625" style="125" customWidth="1"/>
    <col min="9996" max="9996" width="5.140625" style="125" customWidth="1"/>
    <col min="9997" max="9997" width="8.5703125" style="125" customWidth="1"/>
    <col min="9998" max="9998" width="6.5703125" style="125" customWidth="1"/>
    <col min="9999" max="9999" width="7.28515625" style="125" customWidth="1"/>
    <col min="10000" max="10000" width="4.85546875" style="125" customWidth="1"/>
    <col min="10001" max="10001" width="5.85546875" style="125" customWidth="1"/>
    <col min="10002" max="10004" width="6.140625" style="125" customWidth="1"/>
    <col min="10005" max="10005" width="6.5703125" style="125" customWidth="1"/>
    <col min="10006" max="10006" width="6.7109375" style="125" customWidth="1"/>
    <col min="10007" max="10007" width="6.140625" style="125" customWidth="1"/>
    <col min="10008" max="10008" width="7.42578125" style="125" customWidth="1"/>
    <col min="10009" max="10009" width="7.140625" style="125" customWidth="1"/>
    <col min="10010" max="10250" width="9.140625" style="125"/>
    <col min="10251" max="10251" width="6.28515625" style="125" customWidth="1"/>
    <col min="10252" max="10252" width="5.140625" style="125" customWidth="1"/>
    <col min="10253" max="10253" width="8.5703125" style="125" customWidth="1"/>
    <col min="10254" max="10254" width="6.5703125" style="125" customWidth="1"/>
    <col min="10255" max="10255" width="7.28515625" style="125" customWidth="1"/>
    <col min="10256" max="10256" width="4.85546875" style="125" customWidth="1"/>
    <col min="10257" max="10257" width="5.85546875" style="125" customWidth="1"/>
    <col min="10258" max="10260" width="6.140625" style="125" customWidth="1"/>
    <col min="10261" max="10261" width="6.5703125" style="125" customWidth="1"/>
    <col min="10262" max="10262" width="6.7109375" style="125" customWidth="1"/>
    <col min="10263" max="10263" width="6.140625" style="125" customWidth="1"/>
    <col min="10264" max="10264" width="7.42578125" style="125" customWidth="1"/>
    <col min="10265" max="10265" width="7.140625" style="125" customWidth="1"/>
    <col min="10266" max="10506" width="9.140625" style="125"/>
    <col min="10507" max="10507" width="6.28515625" style="125" customWidth="1"/>
    <col min="10508" max="10508" width="5.140625" style="125" customWidth="1"/>
    <col min="10509" max="10509" width="8.5703125" style="125" customWidth="1"/>
    <col min="10510" max="10510" width="6.5703125" style="125" customWidth="1"/>
    <col min="10511" max="10511" width="7.28515625" style="125" customWidth="1"/>
    <col min="10512" max="10512" width="4.85546875" style="125" customWidth="1"/>
    <col min="10513" max="10513" width="5.85546875" style="125" customWidth="1"/>
    <col min="10514" max="10516" width="6.140625" style="125" customWidth="1"/>
    <col min="10517" max="10517" width="6.5703125" style="125" customWidth="1"/>
    <col min="10518" max="10518" width="6.7109375" style="125" customWidth="1"/>
    <col min="10519" max="10519" width="6.140625" style="125" customWidth="1"/>
    <col min="10520" max="10520" width="7.42578125" style="125" customWidth="1"/>
    <col min="10521" max="10521" width="7.140625" style="125" customWidth="1"/>
    <col min="10522" max="10762" width="9.140625" style="125"/>
    <col min="10763" max="10763" width="6.28515625" style="125" customWidth="1"/>
    <col min="10764" max="10764" width="5.140625" style="125" customWidth="1"/>
    <col min="10765" max="10765" width="8.5703125" style="125" customWidth="1"/>
    <col min="10766" max="10766" width="6.5703125" style="125" customWidth="1"/>
    <col min="10767" max="10767" width="7.28515625" style="125" customWidth="1"/>
    <col min="10768" max="10768" width="4.85546875" style="125" customWidth="1"/>
    <col min="10769" max="10769" width="5.85546875" style="125" customWidth="1"/>
    <col min="10770" max="10772" width="6.140625" style="125" customWidth="1"/>
    <col min="10773" max="10773" width="6.5703125" style="125" customWidth="1"/>
    <col min="10774" max="10774" width="6.7109375" style="125" customWidth="1"/>
    <col min="10775" max="10775" width="6.140625" style="125" customWidth="1"/>
    <col min="10776" max="10776" width="7.42578125" style="125" customWidth="1"/>
    <col min="10777" max="10777" width="7.140625" style="125" customWidth="1"/>
    <col min="10778" max="11018" width="9.140625" style="125"/>
    <col min="11019" max="11019" width="6.28515625" style="125" customWidth="1"/>
    <col min="11020" max="11020" width="5.140625" style="125" customWidth="1"/>
    <col min="11021" max="11021" width="8.5703125" style="125" customWidth="1"/>
    <col min="11022" max="11022" width="6.5703125" style="125" customWidth="1"/>
    <col min="11023" max="11023" width="7.28515625" style="125" customWidth="1"/>
    <col min="11024" max="11024" width="4.85546875" style="125" customWidth="1"/>
    <col min="11025" max="11025" width="5.85546875" style="125" customWidth="1"/>
    <col min="11026" max="11028" width="6.140625" style="125" customWidth="1"/>
    <col min="11029" max="11029" width="6.5703125" style="125" customWidth="1"/>
    <col min="11030" max="11030" width="6.7109375" style="125" customWidth="1"/>
    <col min="11031" max="11031" width="6.140625" style="125" customWidth="1"/>
    <col min="11032" max="11032" width="7.42578125" style="125" customWidth="1"/>
    <col min="11033" max="11033" width="7.140625" style="125" customWidth="1"/>
    <col min="11034" max="11274" width="9.140625" style="125"/>
    <col min="11275" max="11275" width="6.28515625" style="125" customWidth="1"/>
    <col min="11276" max="11276" width="5.140625" style="125" customWidth="1"/>
    <col min="11277" max="11277" width="8.5703125" style="125" customWidth="1"/>
    <col min="11278" max="11278" width="6.5703125" style="125" customWidth="1"/>
    <col min="11279" max="11279" width="7.28515625" style="125" customWidth="1"/>
    <col min="11280" max="11280" width="4.85546875" style="125" customWidth="1"/>
    <col min="11281" max="11281" width="5.85546875" style="125" customWidth="1"/>
    <col min="11282" max="11284" width="6.140625" style="125" customWidth="1"/>
    <col min="11285" max="11285" width="6.5703125" style="125" customWidth="1"/>
    <col min="11286" max="11286" width="6.7109375" style="125" customWidth="1"/>
    <col min="11287" max="11287" width="6.140625" style="125" customWidth="1"/>
    <col min="11288" max="11288" width="7.42578125" style="125" customWidth="1"/>
    <col min="11289" max="11289" width="7.140625" style="125" customWidth="1"/>
    <col min="11290" max="11530" width="9.140625" style="125"/>
    <col min="11531" max="11531" width="6.28515625" style="125" customWidth="1"/>
    <col min="11532" max="11532" width="5.140625" style="125" customWidth="1"/>
    <col min="11533" max="11533" width="8.5703125" style="125" customWidth="1"/>
    <col min="11534" max="11534" width="6.5703125" style="125" customWidth="1"/>
    <col min="11535" max="11535" width="7.28515625" style="125" customWidth="1"/>
    <col min="11536" max="11536" width="4.85546875" style="125" customWidth="1"/>
    <col min="11537" max="11537" width="5.85546875" style="125" customWidth="1"/>
    <col min="11538" max="11540" width="6.140625" style="125" customWidth="1"/>
    <col min="11541" max="11541" width="6.5703125" style="125" customWidth="1"/>
    <col min="11542" max="11542" width="6.7109375" style="125" customWidth="1"/>
    <col min="11543" max="11543" width="6.140625" style="125" customWidth="1"/>
    <col min="11544" max="11544" width="7.42578125" style="125" customWidth="1"/>
    <col min="11545" max="11545" width="7.140625" style="125" customWidth="1"/>
    <col min="11546" max="11786" width="9.140625" style="125"/>
    <col min="11787" max="11787" width="6.28515625" style="125" customWidth="1"/>
    <col min="11788" max="11788" width="5.140625" style="125" customWidth="1"/>
    <col min="11789" max="11789" width="8.5703125" style="125" customWidth="1"/>
    <col min="11790" max="11790" width="6.5703125" style="125" customWidth="1"/>
    <col min="11791" max="11791" width="7.28515625" style="125" customWidth="1"/>
    <col min="11792" max="11792" width="4.85546875" style="125" customWidth="1"/>
    <col min="11793" max="11793" width="5.85546875" style="125" customWidth="1"/>
    <col min="11794" max="11796" width="6.140625" style="125" customWidth="1"/>
    <col min="11797" max="11797" width="6.5703125" style="125" customWidth="1"/>
    <col min="11798" max="11798" width="6.7109375" style="125" customWidth="1"/>
    <col min="11799" max="11799" width="6.140625" style="125" customWidth="1"/>
    <col min="11800" max="11800" width="7.42578125" style="125" customWidth="1"/>
    <col min="11801" max="11801" width="7.140625" style="125" customWidth="1"/>
    <col min="11802" max="12042" width="9.140625" style="125"/>
    <col min="12043" max="12043" width="6.28515625" style="125" customWidth="1"/>
    <col min="12044" max="12044" width="5.140625" style="125" customWidth="1"/>
    <col min="12045" max="12045" width="8.5703125" style="125" customWidth="1"/>
    <col min="12046" max="12046" width="6.5703125" style="125" customWidth="1"/>
    <col min="12047" max="12047" width="7.28515625" style="125" customWidth="1"/>
    <col min="12048" max="12048" width="4.85546875" style="125" customWidth="1"/>
    <col min="12049" max="12049" width="5.85546875" style="125" customWidth="1"/>
    <col min="12050" max="12052" width="6.140625" style="125" customWidth="1"/>
    <col min="12053" max="12053" width="6.5703125" style="125" customWidth="1"/>
    <col min="12054" max="12054" width="6.7109375" style="125" customWidth="1"/>
    <col min="12055" max="12055" width="6.140625" style="125" customWidth="1"/>
    <col min="12056" max="12056" width="7.42578125" style="125" customWidth="1"/>
    <col min="12057" max="12057" width="7.140625" style="125" customWidth="1"/>
    <col min="12058" max="12298" width="9.140625" style="125"/>
    <col min="12299" max="12299" width="6.28515625" style="125" customWidth="1"/>
    <col min="12300" max="12300" width="5.140625" style="125" customWidth="1"/>
    <col min="12301" max="12301" width="8.5703125" style="125" customWidth="1"/>
    <col min="12302" max="12302" width="6.5703125" style="125" customWidth="1"/>
    <col min="12303" max="12303" width="7.28515625" style="125" customWidth="1"/>
    <col min="12304" max="12304" width="4.85546875" style="125" customWidth="1"/>
    <col min="12305" max="12305" width="5.85546875" style="125" customWidth="1"/>
    <col min="12306" max="12308" width="6.140625" style="125" customWidth="1"/>
    <col min="12309" max="12309" width="6.5703125" style="125" customWidth="1"/>
    <col min="12310" max="12310" width="6.7109375" style="125" customWidth="1"/>
    <col min="12311" max="12311" width="6.140625" style="125" customWidth="1"/>
    <col min="12312" max="12312" width="7.42578125" style="125" customWidth="1"/>
    <col min="12313" max="12313" width="7.140625" style="125" customWidth="1"/>
    <col min="12314" max="12554" width="9.140625" style="125"/>
    <col min="12555" max="12555" width="6.28515625" style="125" customWidth="1"/>
    <col min="12556" max="12556" width="5.140625" style="125" customWidth="1"/>
    <col min="12557" max="12557" width="8.5703125" style="125" customWidth="1"/>
    <col min="12558" max="12558" width="6.5703125" style="125" customWidth="1"/>
    <col min="12559" max="12559" width="7.28515625" style="125" customWidth="1"/>
    <col min="12560" max="12560" width="4.85546875" style="125" customWidth="1"/>
    <col min="12561" max="12561" width="5.85546875" style="125" customWidth="1"/>
    <col min="12562" max="12564" width="6.140625" style="125" customWidth="1"/>
    <col min="12565" max="12565" width="6.5703125" style="125" customWidth="1"/>
    <col min="12566" max="12566" width="6.7109375" style="125" customWidth="1"/>
    <col min="12567" max="12567" width="6.140625" style="125" customWidth="1"/>
    <col min="12568" max="12568" width="7.42578125" style="125" customWidth="1"/>
    <col min="12569" max="12569" width="7.140625" style="125" customWidth="1"/>
    <col min="12570" max="12810" width="9.140625" style="125"/>
    <col min="12811" max="12811" width="6.28515625" style="125" customWidth="1"/>
    <col min="12812" max="12812" width="5.140625" style="125" customWidth="1"/>
    <col min="12813" max="12813" width="8.5703125" style="125" customWidth="1"/>
    <col min="12814" max="12814" width="6.5703125" style="125" customWidth="1"/>
    <col min="12815" max="12815" width="7.28515625" style="125" customWidth="1"/>
    <col min="12816" max="12816" width="4.85546875" style="125" customWidth="1"/>
    <col min="12817" max="12817" width="5.85546875" style="125" customWidth="1"/>
    <col min="12818" max="12820" width="6.140625" style="125" customWidth="1"/>
    <col min="12821" max="12821" width="6.5703125" style="125" customWidth="1"/>
    <col min="12822" max="12822" width="6.7109375" style="125" customWidth="1"/>
    <col min="12823" max="12823" width="6.140625" style="125" customWidth="1"/>
    <col min="12824" max="12824" width="7.42578125" style="125" customWidth="1"/>
    <col min="12825" max="12825" width="7.140625" style="125" customWidth="1"/>
    <col min="12826" max="13066" width="9.140625" style="125"/>
    <col min="13067" max="13067" width="6.28515625" style="125" customWidth="1"/>
    <col min="13068" max="13068" width="5.140625" style="125" customWidth="1"/>
    <col min="13069" max="13069" width="8.5703125" style="125" customWidth="1"/>
    <col min="13070" max="13070" width="6.5703125" style="125" customWidth="1"/>
    <col min="13071" max="13071" width="7.28515625" style="125" customWidth="1"/>
    <col min="13072" max="13072" width="4.85546875" style="125" customWidth="1"/>
    <col min="13073" max="13073" width="5.85546875" style="125" customWidth="1"/>
    <col min="13074" max="13076" width="6.140625" style="125" customWidth="1"/>
    <col min="13077" max="13077" width="6.5703125" style="125" customWidth="1"/>
    <col min="13078" max="13078" width="6.7109375" style="125" customWidth="1"/>
    <col min="13079" max="13079" width="6.140625" style="125" customWidth="1"/>
    <col min="13080" max="13080" width="7.42578125" style="125" customWidth="1"/>
    <col min="13081" max="13081" width="7.140625" style="125" customWidth="1"/>
    <col min="13082" max="13322" width="9.140625" style="125"/>
    <col min="13323" max="13323" width="6.28515625" style="125" customWidth="1"/>
    <col min="13324" max="13324" width="5.140625" style="125" customWidth="1"/>
    <col min="13325" max="13325" width="8.5703125" style="125" customWidth="1"/>
    <col min="13326" max="13326" width="6.5703125" style="125" customWidth="1"/>
    <col min="13327" max="13327" width="7.28515625" style="125" customWidth="1"/>
    <col min="13328" max="13328" width="4.85546875" style="125" customWidth="1"/>
    <col min="13329" max="13329" width="5.85546875" style="125" customWidth="1"/>
    <col min="13330" max="13332" width="6.140625" style="125" customWidth="1"/>
    <col min="13333" max="13333" width="6.5703125" style="125" customWidth="1"/>
    <col min="13334" max="13334" width="6.7109375" style="125" customWidth="1"/>
    <col min="13335" max="13335" width="6.140625" style="125" customWidth="1"/>
    <col min="13336" max="13336" width="7.42578125" style="125" customWidth="1"/>
    <col min="13337" max="13337" width="7.140625" style="125" customWidth="1"/>
    <col min="13338" max="13578" width="9.140625" style="125"/>
    <col min="13579" max="13579" width="6.28515625" style="125" customWidth="1"/>
    <col min="13580" max="13580" width="5.140625" style="125" customWidth="1"/>
    <col min="13581" max="13581" width="8.5703125" style="125" customWidth="1"/>
    <col min="13582" max="13582" width="6.5703125" style="125" customWidth="1"/>
    <col min="13583" max="13583" width="7.28515625" style="125" customWidth="1"/>
    <col min="13584" max="13584" width="4.85546875" style="125" customWidth="1"/>
    <col min="13585" max="13585" width="5.85546875" style="125" customWidth="1"/>
    <col min="13586" max="13588" width="6.140625" style="125" customWidth="1"/>
    <col min="13589" max="13589" width="6.5703125" style="125" customWidth="1"/>
    <col min="13590" max="13590" width="6.7109375" style="125" customWidth="1"/>
    <col min="13591" max="13591" width="6.140625" style="125" customWidth="1"/>
    <col min="13592" max="13592" width="7.42578125" style="125" customWidth="1"/>
    <col min="13593" max="13593" width="7.140625" style="125" customWidth="1"/>
    <col min="13594" max="13834" width="9.140625" style="125"/>
    <col min="13835" max="13835" width="6.28515625" style="125" customWidth="1"/>
    <col min="13836" max="13836" width="5.140625" style="125" customWidth="1"/>
    <col min="13837" max="13837" width="8.5703125" style="125" customWidth="1"/>
    <col min="13838" max="13838" width="6.5703125" style="125" customWidth="1"/>
    <col min="13839" max="13839" width="7.28515625" style="125" customWidth="1"/>
    <col min="13840" max="13840" width="4.85546875" style="125" customWidth="1"/>
    <col min="13841" max="13841" width="5.85546875" style="125" customWidth="1"/>
    <col min="13842" max="13844" width="6.140625" style="125" customWidth="1"/>
    <col min="13845" max="13845" width="6.5703125" style="125" customWidth="1"/>
    <col min="13846" max="13846" width="6.7109375" style="125" customWidth="1"/>
    <col min="13847" max="13847" width="6.140625" style="125" customWidth="1"/>
    <col min="13848" max="13848" width="7.42578125" style="125" customWidth="1"/>
    <col min="13849" max="13849" width="7.140625" style="125" customWidth="1"/>
    <col min="13850" max="14090" width="9.140625" style="125"/>
    <col min="14091" max="14091" width="6.28515625" style="125" customWidth="1"/>
    <col min="14092" max="14092" width="5.140625" style="125" customWidth="1"/>
    <col min="14093" max="14093" width="8.5703125" style="125" customWidth="1"/>
    <col min="14094" max="14094" width="6.5703125" style="125" customWidth="1"/>
    <col min="14095" max="14095" width="7.28515625" style="125" customWidth="1"/>
    <col min="14096" max="14096" width="4.85546875" style="125" customWidth="1"/>
    <col min="14097" max="14097" width="5.85546875" style="125" customWidth="1"/>
    <col min="14098" max="14100" width="6.140625" style="125" customWidth="1"/>
    <col min="14101" max="14101" width="6.5703125" style="125" customWidth="1"/>
    <col min="14102" max="14102" width="6.7109375" style="125" customWidth="1"/>
    <col min="14103" max="14103" width="6.140625" style="125" customWidth="1"/>
    <col min="14104" max="14104" width="7.42578125" style="125" customWidth="1"/>
    <col min="14105" max="14105" width="7.140625" style="125" customWidth="1"/>
    <col min="14106" max="14346" width="9.140625" style="125"/>
    <col min="14347" max="14347" width="6.28515625" style="125" customWidth="1"/>
    <col min="14348" max="14348" width="5.140625" style="125" customWidth="1"/>
    <col min="14349" max="14349" width="8.5703125" style="125" customWidth="1"/>
    <col min="14350" max="14350" width="6.5703125" style="125" customWidth="1"/>
    <col min="14351" max="14351" width="7.28515625" style="125" customWidth="1"/>
    <col min="14352" max="14352" width="4.85546875" style="125" customWidth="1"/>
    <col min="14353" max="14353" width="5.85546875" style="125" customWidth="1"/>
    <col min="14354" max="14356" width="6.140625" style="125" customWidth="1"/>
    <col min="14357" max="14357" width="6.5703125" style="125" customWidth="1"/>
    <col min="14358" max="14358" width="6.7109375" style="125" customWidth="1"/>
    <col min="14359" max="14359" width="6.140625" style="125" customWidth="1"/>
    <col min="14360" max="14360" width="7.42578125" style="125" customWidth="1"/>
    <col min="14361" max="14361" width="7.140625" style="125" customWidth="1"/>
    <col min="14362" max="14602" width="9.140625" style="125"/>
    <col min="14603" max="14603" width="6.28515625" style="125" customWidth="1"/>
    <col min="14604" max="14604" width="5.140625" style="125" customWidth="1"/>
    <col min="14605" max="14605" width="8.5703125" style="125" customWidth="1"/>
    <col min="14606" max="14606" width="6.5703125" style="125" customWidth="1"/>
    <col min="14607" max="14607" width="7.28515625" style="125" customWidth="1"/>
    <col min="14608" max="14608" width="4.85546875" style="125" customWidth="1"/>
    <col min="14609" max="14609" width="5.85546875" style="125" customWidth="1"/>
    <col min="14610" max="14612" width="6.140625" style="125" customWidth="1"/>
    <col min="14613" max="14613" width="6.5703125" style="125" customWidth="1"/>
    <col min="14614" max="14614" width="6.7109375" style="125" customWidth="1"/>
    <col min="14615" max="14615" width="6.140625" style="125" customWidth="1"/>
    <col min="14616" max="14616" width="7.42578125" style="125" customWidth="1"/>
    <col min="14617" max="14617" width="7.140625" style="125" customWidth="1"/>
    <col min="14618" max="14858" width="9.140625" style="125"/>
    <col min="14859" max="14859" width="6.28515625" style="125" customWidth="1"/>
    <col min="14860" max="14860" width="5.140625" style="125" customWidth="1"/>
    <col min="14861" max="14861" width="8.5703125" style="125" customWidth="1"/>
    <col min="14862" max="14862" width="6.5703125" style="125" customWidth="1"/>
    <col min="14863" max="14863" width="7.28515625" style="125" customWidth="1"/>
    <col min="14864" max="14864" width="4.85546875" style="125" customWidth="1"/>
    <col min="14865" max="14865" width="5.85546875" style="125" customWidth="1"/>
    <col min="14866" max="14868" width="6.140625" style="125" customWidth="1"/>
    <col min="14869" max="14869" width="6.5703125" style="125" customWidth="1"/>
    <col min="14870" max="14870" width="6.7109375" style="125" customWidth="1"/>
    <col min="14871" max="14871" width="6.140625" style="125" customWidth="1"/>
    <col min="14872" max="14872" width="7.42578125" style="125" customWidth="1"/>
    <col min="14873" max="14873" width="7.140625" style="125" customWidth="1"/>
    <col min="14874" max="15114" width="9.140625" style="125"/>
    <col min="15115" max="15115" width="6.28515625" style="125" customWidth="1"/>
    <col min="15116" max="15116" width="5.140625" style="125" customWidth="1"/>
    <col min="15117" max="15117" width="8.5703125" style="125" customWidth="1"/>
    <col min="15118" max="15118" width="6.5703125" style="125" customWidth="1"/>
    <col min="15119" max="15119" width="7.28515625" style="125" customWidth="1"/>
    <col min="15120" max="15120" width="4.85546875" style="125" customWidth="1"/>
    <col min="15121" max="15121" width="5.85546875" style="125" customWidth="1"/>
    <col min="15122" max="15124" width="6.140625" style="125" customWidth="1"/>
    <col min="15125" max="15125" width="6.5703125" style="125" customWidth="1"/>
    <col min="15126" max="15126" width="6.7109375" style="125" customWidth="1"/>
    <col min="15127" max="15127" width="6.140625" style="125" customWidth="1"/>
    <col min="15128" max="15128" width="7.42578125" style="125" customWidth="1"/>
    <col min="15129" max="15129" width="7.140625" style="125" customWidth="1"/>
    <col min="15130" max="15370" width="9.140625" style="125"/>
    <col min="15371" max="15371" width="6.28515625" style="125" customWidth="1"/>
    <col min="15372" max="15372" width="5.140625" style="125" customWidth="1"/>
    <col min="15373" max="15373" width="8.5703125" style="125" customWidth="1"/>
    <col min="15374" max="15374" width="6.5703125" style="125" customWidth="1"/>
    <col min="15375" max="15375" width="7.28515625" style="125" customWidth="1"/>
    <col min="15376" max="15376" width="4.85546875" style="125" customWidth="1"/>
    <col min="15377" max="15377" width="5.85546875" style="125" customWidth="1"/>
    <col min="15378" max="15380" width="6.140625" style="125" customWidth="1"/>
    <col min="15381" max="15381" width="6.5703125" style="125" customWidth="1"/>
    <col min="15382" max="15382" width="6.7109375" style="125" customWidth="1"/>
    <col min="15383" max="15383" width="6.140625" style="125" customWidth="1"/>
    <col min="15384" max="15384" width="7.42578125" style="125" customWidth="1"/>
    <col min="15385" max="15385" width="7.140625" style="125" customWidth="1"/>
    <col min="15386" max="15626" width="9.140625" style="125"/>
    <col min="15627" max="15627" width="6.28515625" style="125" customWidth="1"/>
    <col min="15628" max="15628" width="5.140625" style="125" customWidth="1"/>
    <col min="15629" max="15629" width="8.5703125" style="125" customWidth="1"/>
    <col min="15630" max="15630" width="6.5703125" style="125" customWidth="1"/>
    <col min="15631" max="15631" width="7.28515625" style="125" customWidth="1"/>
    <col min="15632" max="15632" width="4.85546875" style="125" customWidth="1"/>
    <col min="15633" max="15633" width="5.85546875" style="125" customWidth="1"/>
    <col min="15634" max="15636" width="6.140625" style="125" customWidth="1"/>
    <col min="15637" max="15637" width="6.5703125" style="125" customWidth="1"/>
    <col min="15638" max="15638" width="6.7109375" style="125" customWidth="1"/>
    <col min="15639" max="15639" width="6.140625" style="125" customWidth="1"/>
    <col min="15640" max="15640" width="7.42578125" style="125" customWidth="1"/>
    <col min="15641" max="15641" width="7.140625" style="125" customWidth="1"/>
    <col min="15642" max="15882" width="9.140625" style="125"/>
    <col min="15883" max="15883" width="6.28515625" style="125" customWidth="1"/>
    <col min="15884" max="15884" width="5.140625" style="125" customWidth="1"/>
    <col min="15885" max="15885" width="8.5703125" style="125" customWidth="1"/>
    <col min="15886" max="15886" width="6.5703125" style="125" customWidth="1"/>
    <col min="15887" max="15887" width="7.28515625" style="125" customWidth="1"/>
    <col min="15888" max="15888" width="4.85546875" style="125" customWidth="1"/>
    <col min="15889" max="15889" width="5.85546875" style="125" customWidth="1"/>
    <col min="15890" max="15892" width="6.140625" style="125" customWidth="1"/>
    <col min="15893" max="15893" width="6.5703125" style="125" customWidth="1"/>
    <col min="15894" max="15894" width="6.7109375" style="125" customWidth="1"/>
    <col min="15895" max="15895" width="6.140625" style="125" customWidth="1"/>
    <col min="15896" max="15896" width="7.42578125" style="125" customWidth="1"/>
    <col min="15897" max="15897" width="7.140625" style="125" customWidth="1"/>
    <col min="15898" max="16138" width="9.140625" style="125"/>
    <col min="16139" max="16139" width="6.28515625" style="125" customWidth="1"/>
    <col min="16140" max="16140" width="5.140625" style="125" customWidth="1"/>
    <col min="16141" max="16141" width="8.5703125" style="125" customWidth="1"/>
    <col min="16142" max="16142" width="6.5703125" style="125" customWidth="1"/>
    <col min="16143" max="16143" width="7.28515625" style="125" customWidth="1"/>
    <col min="16144" max="16144" width="4.85546875" style="125" customWidth="1"/>
    <col min="16145" max="16145" width="5.85546875" style="125" customWidth="1"/>
    <col min="16146" max="16148" width="6.140625" style="125" customWidth="1"/>
    <col min="16149" max="16149" width="6.5703125" style="125" customWidth="1"/>
    <col min="16150" max="16150" width="6.7109375" style="125" customWidth="1"/>
    <col min="16151" max="16151" width="6.140625" style="125" customWidth="1"/>
    <col min="16152" max="16152" width="7.42578125" style="125" customWidth="1"/>
    <col min="16153" max="16153" width="7.140625" style="125" customWidth="1"/>
    <col min="16154" max="16384" width="9.140625" style="125"/>
  </cols>
  <sheetData>
    <row r="1" spans="2:34" ht="63.75" customHeight="1" x14ac:dyDescent="0.25">
      <c r="K1" s="289" t="s">
        <v>500</v>
      </c>
      <c r="L1" s="290"/>
      <c r="M1" s="290"/>
      <c r="N1" s="290"/>
      <c r="O1" s="290"/>
      <c r="P1" s="290"/>
      <c r="Q1" s="290"/>
      <c r="R1" s="290"/>
      <c r="AB1" s="125"/>
      <c r="AC1" s="125"/>
    </row>
    <row r="2" spans="2:34" ht="15.75" customHeight="1" x14ac:dyDescent="0.25">
      <c r="B2" s="299" t="s">
        <v>140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Y2" s="125"/>
      <c r="Z2" s="125"/>
      <c r="AA2" s="125"/>
      <c r="AB2" s="125"/>
      <c r="AC2" s="125"/>
      <c r="AD2" s="125"/>
      <c r="AE2" s="125"/>
      <c r="AF2" s="125"/>
      <c r="AG2" s="125"/>
      <c r="AH2" s="125"/>
    </row>
    <row r="3" spans="2:34" ht="11.25" customHeight="1" x14ac:dyDescent="0.25">
      <c r="Y3" s="125"/>
      <c r="Z3" s="125"/>
      <c r="AA3" s="125"/>
      <c r="AB3" s="125"/>
      <c r="AC3" s="125"/>
      <c r="AD3" s="125"/>
      <c r="AE3" s="125"/>
      <c r="AF3" s="125"/>
      <c r="AG3" s="125"/>
      <c r="AH3" s="125"/>
    </row>
    <row r="4" spans="2:34" ht="13.5" customHeight="1" x14ac:dyDescent="0.25">
      <c r="B4" s="294" t="s">
        <v>115</v>
      </c>
      <c r="C4" s="294"/>
      <c r="D4" s="291"/>
      <c r="E4" s="292"/>
      <c r="F4" s="292"/>
      <c r="G4" s="292"/>
      <c r="H4" s="292"/>
      <c r="I4" s="292"/>
      <c r="J4" s="293"/>
      <c r="K4" t="s">
        <v>213</v>
      </c>
      <c r="L4" s="291"/>
      <c r="M4" s="292"/>
      <c r="N4" s="292"/>
      <c r="O4" s="292"/>
      <c r="P4" s="292"/>
      <c r="Q4" s="292"/>
      <c r="R4" s="293"/>
      <c r="Y4" s="125"/>
      <c r="Z4" s="125"/>
      <c r="AA4" s="125"/>
      <c r="AB4" s="125"/>
      <c r="AC4" s="125"/>
      <c r="AD4" s="125"/>
      <c r="AE4" s="125"/>
      <c r="AF4" s="125"/>
      <c r="AG4" s="125"/>
      <c r="AH4" s="125"/>
    </row>
    <row r="5" spans="2:34" ht="3" customHeight="1" x14ac:dyDescent="0.25"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Y5" s="125"/>
      <c r="Z5" s="125"/>
      <c r="AA5" s="125"/>
      <c r="AB5" s="125"/>
      <c r="AC5" s="125"/>
      <c r="AD5" s="125"/>
      <c r="AE5" s="125"/>
      <c r="AF5" s="125"/>
      <c r="AG5" s="125"/>
      <c r="AH5" s="125"/>
    </row>
    <row r="6" spans="2:34" ht="13.5" customHeight="1" x14ac:dyDescent="0.25">
      <c r="B6" s="127" t="s">
        <v>142</v>
      </c>
      <c r="C6" s="127"/>
      <c r="D6" s="127" t="s">
        <v>144</v>
      </c>
      <c r="E6" s="127"/>
      <c r="F6" s="295"/>
      <c r="G6" s="296"/>
      <c r="H6" s="297" t="s">
        <v>143</v>
      </c>
      <c r="I6" s="298"/>
      <c r="J6" s="291"/>
      <c r="K6" s="292"/>
      <c r="L6" s="292"/>
      <c r="M6" s="292"/>
      <c r="N6" s="292"/>
      <c r="O6" s="292"/>
      <c r="P6" s="292"/>
      <c r="Q6" s="292"/>
      <c r="R6" s="293"/>
      <c r="Y6" s="125"/>
      <c r="Z6" s="125"/>
      <c r="AA6" s="125"/>
      <c r="AB6" s="125"/>
      <c r="AC6" s="125"/>
      <c r="AD6" s="125"/>
      <c r="AE6" s="125"/>
      <c r="AF6" s="125"/>
      <c r="AG6" s="125"/>
      <c r="AH6" s="125"/>
    </row>
    <row r="7" spans="2:34" ht="3" customHeight="1" x14ac:dyDescent="0.25"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Y7" s="125"/>
      <c r="Z7" s="125"/>
      <c r="AA7" s="125"/>
      <c r="AB7" s="125"/>
      <c r="AC7" s="125"/>
      <c r="AD7" s="125"/>
      <c r="AE7" s="125"/>
      <c r="AF7" s="125"/>
      <c r="AG7" s="125"/>
      <c r="AH7" s="125"/>
    </row>
    <row r="8" spans="2:34" ht="13.5" customHeight="1" x14ac:dyDescent="0.25">
      <c r="B8" s="294" t="s">
        <v>116</v>
      </c>
      <c r="C8" s="294"/>
      <c r="D8" s="291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3"/>
      <c r="X8" s="263" t="s">
        <v>456</v>
      </c>
      <c r="Y8" s="125"/>
      <c r="Z8" s="125"/>
      <c r="AA8" s="125"/>
      <c r="AB8" s="125"/>
      <c r="AC8" s="125"/>
      <c r="AD8" s="125"/>
      <c r="AE8" s="125"/>
      <c r="AF8" s="125"/>
      <c r="AG8" s="125"/>
      <c r="AH8" s="125"/>
    </row>
    <row r="9" spans="2:34" ht="3" customHeight="1" x14ac:dyDescent="0.25"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X9" s="126"/>
      <c r="Y9" s="125"/>
      <c r="Z9" s="125"/>
      <c r="AA9" s="125"/>
      <c r="AB9" s="125"/>
      <c r="AC9" s="125"/>
      <c r="AD9" s="125"/>
      <c r="AE9" s="125"/>
      <c r="AF9" s="125"/>
      <c r="AG9" s="125"/>
      <c r="AH9" s="125"/>
    </row>
    <row r="10" spans="2:34" ht="13.5" customHeight="1" x14ac:dyDescent="0.25">
      <c r="B10" s="294" t="s">
        <v>496</v>
      </c>
      <c r="C10" s="337"/>
      <c r="D10" s="291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3"/>
      <c r="X10" s="126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</row>
    <row r="11" spans="2:34" ht="3" customHeight="1" x14ac:dyDescent="0.25"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X11" s="126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</row>
    <row r="12" spans="2:34" ht="13.5" customHeight="1" x14ac:dyDescent="0.25">
      <c r="B12" s="294" t="s">
        <v>457</v>
      </c>
      <c r="C12" s="294"/>
      <c r="D12" s="294"/>
      <c r="E12" s="291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3"/>
      <c r="X12" s="126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</row>
    <row r="13" spans="2:34" ht="3" customHeight="1" x14ac:dyDescent="0.25"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X13" s="126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</row>
    <row r="14" spans="2:34" ht="13.5" customHeight="1" x14ac:dyDescent="0.25">
      <c r="B14" s="294" t="s">
        <v>145</v>
      </c>
      <c r="C14" s="294"/>
      <c r="D14" s="127" t="s">
        <v>144</v>
      </c>
      <c r="E14" s="127"/>
      <c r="F14" s="295">
        <v>44722</v>
      </c>
      <c r="G14" s="296"/>
      <c r="H14" s="297" t="s">
        <v>143</v>
      </c>
      <c r="I14" s="298"/>
      <c r="J14" s="300"/>
      <c r="K14" s="301"/>
      <c r="L14" s="301"/>
      <c r="M14" s="301"/>
      <c r="N14" s="301"/>
      <c r="O14" s="301"/>
      <c r="P14" s="301"/>
      <c r="Q14" s="301"/>
      <c r="R14" s="302"/>
      <c r="X14" s="126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</row>
    <row r="15" spans="2:34" ht="3" customHeight="1" x14ac:dyDescent="0.25"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X15" s="126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</row>
    <row r="16" spans="2:34" ht="13.5" customHeight="1" x14ac:dyDescent="0.25">
      <c r="B16" s="294" t="s">
        <v>214</v>
      </c>
      <c r="C16" s="294"/>
      <c r="D16" s="291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3"/>
      <c r="X16" s="126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</row>
    <row r="17" spans="2:34" ht="3" customHeight="1" x14ac:dyDescent="0.25"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X17" s="126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</row>
    <row r="18" spans="2:34" ht="13.5" customHeight="1" x14ac:dyDescent="0.25">
      <c r="B18" s="303" t="s">
        <v>445</v>
      </c>
      <c r="C18" s="303"/>
      <c r="D18" s="303"/>
      <c r="E18" s="303"/>
      <c r="F18" s="303"/>
      <c r="G18" s="261" t="s">
        <v>22</v>
      </c>
      <c r="H18" s="127"/>
      <c r="I18" s="308" t="str">
        <f>IF(G18&lt;&gt;"",(VLOOKUP(G18,List1!B3:C11,2,FALSE)),"")</f>
        <v>Autobus</v>
      </c>
      <c r="J18" s="308"/>
      <c r="K18" s="308"/>
      <c r="L18" s="308"/>
      <c r="M18" s="308"/>
      <c r="N18" s="309" t="str">
        <f>IF(G18="V","Jízdenku zařizuje:",IF(G18="A","Jízdenku zařizuje:",IF(G18="L","Letenku zařizuje:","")))</f>
        <v>Jízdenku zařizuje:</v>
      </c>
      <c r="O18" s="309"/>
      <c r="P18" s="309"/>
      <c r="Q18" s="127"/>
      <c r="R18" s="245" t="s">
        <v>455</v>
      </c>
      <c r="X18" s="126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</row>
    <row r="19" spans="2:34" ht="3" customHeight="1" x14ac:dyDescent="0.25">
      <c r="X19" s="126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</row>
    <row r="20" spans="2:34" ht="13.5" customHeight="1" x14ac:dyDescent="0.25">
      <c r="B20" s="304" t="s">
        <v>449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136"/>
      <c r="R20" s="247">
        <v>0</v>
      </c>
      <c r="T20" s="128"/>
      <c r="U20" s="128"/>
      <c r="V20" s="128"/>
      <c r="W20" s="129"/>
      <c r="X20" s="126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</row>
    <row r="21" spans="2:34" ht="3.75" customHeight="1" x14ac:dyDescent="0.25">
      <c r="B21" s="130"/>
      <c r="C21" s="131"/>
      <c r="D21" s="132"/>
      <c r="E21" s="133"/>
      <c r="X21" s="126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</row>
    <row r="22" spans="2:34" ht="13.5" customHeight="1" x14ac:dyDescent="0.25">
      <c r="B22" s="303" t="s">
        <v>463</v>
      </c>
      <c r="C22" s="303"/>
      <c r="D22" s="303"/>
      <c r="E22" s="303"/>
      <c r="F22" s="303"/>
      <c r="G22" s="303"/>
      <c r="H22" s="303"/>
      <c r="I22" s="303"/>
      <c r="J22" s="303"/>
      <c r="K22" s="310" t="s">
        <v>465</v>
      </c>
      <c r="L22" s="310"/>
      <c r="M22" s="310"/>
      <c r="N22" s="310"/>
      <c r="O22" s="310"/>
      <c r="P22" s="310"/>
      <c r="Q22" s="310"/>
      <c r="R22" s="310"/>
      <c r="X22" s="126"/>
      <c r="Y22" s="125"/>
      <c r="AA22" s="125"/>
      <c r="AB22" s="125"/>
      <c r="AC22" s="125"/>
      <c r="AD22" s="125"/>
      <c r="AE22" s="125"/>
      <c r="AF22" s="125"/>
      <c r="AG22" s="125"/>
      <c r="AH22" s="125"/>
    </row>
    <row r="23" spans="2:34" ht="3" customHeight="1" x14ac:dyDescent="0.25">
      <c r="B23" s="130"/>
      <c r="C23" s="131"/>
      <c r="D23" s="132"/>
      <c r="E23" s="133"/>
      <c r="L23" s="136"/>
      <c r="M23" s="136"/>
      <c r="N23" s="136"/>
      <c r="O23" s="136"/>
      <c r="P23" s="136"/>
      <c r="Q23" s="136"/>
      <c r="R23" s="136"/>
      <c r="X23" s="126"/>
      <c r="Y23" s="125"/>
      <c r="AA23" s="125"/>
      <c r="AB23" s="125"/>
      <c r="AC23" s="125"/>
      <c r="AD23" s="125"/>
      <c r="AE23" s="125"/>
      <c r="AF23" s="125"/>
      <c r="AG23" s="125"/>
      <c r="AH23" s="125"/>
    </row>
    <row r="24" spans="2:34" ht="14.25" customHeight="1" x14ac:dyDescent="0.25">
      <c r="B24" s="294" t="s">
        <v>459</v>
      </c>
      <c r="C24" s="294"/>
      <c r="D24" s="291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3"/>
      <c r="Q24"/>
      <c r="R24" s="246"/>
      <c r="X24" s="263" t="s">
        <v>458</v>
      </c>
      <c r="Y24" s="125"/>
      <c r="Z24" s="263" t="s">
        <v>469</v>
      </c>
      <c r="AA24" s="125"/>
      <c r="AB24" s="125"/>
      <c r="AC24" s="125"/>
      <c r="AD24" s="125"/>
      <c r="AE24" s="125"/>
      <c r="AF24" s="125"/>
      <c r="AG24" s="125"/>
      <c r="AH24" s="125"/>
    </row>
    <row r="25" spans="2:34" ht="3.75" customHeight="1" x14ac:dyDescent="0.25">
      <c r="B25" s="130"/>
      <c r="C25" s="131"/>
      <c r="D25" s="132"/>
      <c r="E25" s="133"/>
      <c r="X25" s="263"/>
      <c r="Y25" s="125"/>
      <c r="Z25" s="263" t="s">
        <v>469</v>
      </c>
      <c r="AA25" s="125"/>
      <c r="AB25" s="125"/>
      <c r="AC25" s="125"/>
      <c r="AD25" s="125"/>
      <c r="AE25" s="125"/>
      <c r="AF25" s="125"/>
      <c r="AG25" s="125"/>
      <c r="AH25" s="125"/>
    </row>
    <row r="26" spans="2:34" ht="13.5" customHeight="1" x14ac:dyDescent="0.25">
      <c r="B26" s="294" t="s">
        <v>460</v>
      </c>
      <c r="C26" s="294"/>
      <c r="D26" s="291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3"/>
      <c r="Q26"/>
      <c r="R26" s="246"/>
      <c r="X26" s="263" t="s">
        <v>458</v>
      </c>
      <c r="Y26" s="125"/>
      <c r="Z26" s="263" t="s">
        <v>469</v>
      </c>
      <c r="AA26" s="125"/>
      <c r="AB26" s="125"/>
      <c r="AC26" s="125"/>
      <c r="AD26" s="125"/>
      <c r="AE26" s="125"/>
      <c r="AF26" s="125"/>
      <c r="AG26" s="125"/>
      <c r="AH26" s="125"/>
    </row>
    <row r="27" spans="2:34" ht="3" customHeight="1" x14ac:dyDescent="0.25">
      <c r="B27" s="130"/>
      <c r="C27" s="131"/>
      <c r="D27" s="132"/>
      <c r="E27" s="133"/>
      <c r="Q27"/>
      <c r="X27" s="263"/>
      <c r="Y27" s="125"/>
      <c r="Z27" s="263" t="s">
        <v>469</v>
      </c>
      <c r="AA27" s="125"/>
      <c r="AB27" s="125"/>
      <c r="AC27" s="125"/>
      <c r="AD27" s="125"/>
      <c r="AE27" s="125"/>
      <c r="AF27" s="125"/>
      <c r="AG27" s="125"/>
      <c r="AH27" s="125"/>
    </row>
    <row r="28" spans="2:34" ht="13.5" customHeight="1" x14ac:dyDescent="0.25">
      <c r="B28" s="311" t="s">
        <v>462</v>
      </c>
      <c r="C28" s="311"/>
      <c r="D28" s="291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3"/>
      <c r="Q28"/>
      <c r="R28" s="246"/>
      <c r="X28" s="263" t="s">
        <v>458</v>
      </c>
      <c r="Y28" s="125"/>
      <c r="Z28" s="263" t="s">
        <v>469</v>
      </c>
      <c r="AA28" s="125"/>
      <c r="AB28" s="125"/>
      <c r="AC28" s="125"/>
      <c r="AD28" s="125"/>
      <c r="AE28" s="125"/>
      <c r="AF28" s="125"/>
      <c r="AG28" s="125"/>
      <c r="AH28" s="125"/>
    </row>
    <row r="29" spans="2:34" ht="3" customHeight="1" x14ac:dyDescent="0.25">
      <c r="B29" s="130"/>
      <c r="C29" s="131"/>
      <c r="D29" s="132"/>
      <c r="E29" s="133"/>
      <c r="Q29"/>
      <c r="X29" s="263"/>
      <c r="Y29" s="125"/>
      <c r="AA29" s="125"/>
      <c r="AB29" s="125"/>
      <c r="AC29" s="125"/>
      <c r="AD29" s="125"/>
      <c r="AE29" s="125"/>
      <c r="AF29" s="125"/>
      <c r="AG29" s="125"/>
      <c r="AH29" s="125"/>
    </row>
    <row r="30" spans="2:34" ht="13.5" customHeight="1" x14ac:dyDescent="0.25">
      <c r="B30" s="311" t="s">
        <v>464</v>
      </c>
      <c r="C30" s="311"/>
      <c r="D30" s="311"/>
      <c r="E30"/>
      <c r="F30" s="291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3"/>
      <c r="X30" s="263" t="s">
        <v>461</v>
      </c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</row>
    <row r="31" spans="2:34" ht="3" customHeight="1" x14ac:dyDescent="0.25">
      <c r="B31" s="134"/>
      <c r="C31" s="134"/>
      <c r="D31" s="134"/>
      <c r="E31" s="134"/>
      <c r="F31" s="134"/>
      <c r="G31"/>
      <c r="H31"/>
      <c r="I31"/>
      <c r="J31"/>
      <c r="K31"/>
      <c r="L31"/>
      <c r="M31"/>
      <c r="N31"/>
      <c r="O31"/>
      <c r="P31"/>
      <c r="Q31"/>
      <c r="R31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</row>
    <row r="32" spans="2:34" ht="13.5" customHeight="1" x14ac:dyDescent="0.25">
      <c r="B32" s="311" t="str">
        <f>"Cestovní pojištění ("&amp;List1!R2&amp;"), zajištuje a hradí:"</f>
        <v>Cestovní pojištění (44723 dny), zajištuje a hradí:</v>
      </c>
      <c r="C32" s="311"/>
      <c r="D32" s="311"/>
      <c r="E32" s="311"/>
      <c r="F32" s="311"/>
      <c r="G32" s="342"/>
      <c r="H32" s="343"/>
      <c r="I32" s="296"/>
      <c r="J32"/>
      <c r="K32" s="340" t="s">
        <v>468</v>
      </c>
      <c r="L32" s="340"/>
      <c r="M32" s="340"/>
      <c r="N32" s="340"/>
      <c r="O32" s="340"/>
      <c r="P32" s="340"/>
      <c r="Q32"/>
      <c r="R32" s="253">
        <f>IF(OR(G18="SV",G18="SJ"),R24+R26+R28,R20+R24+R26+R28)</f>
        <v>0</v>
      </c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</row>
    <row r="33" spans="2:34" ht="3" customHeight="1" x14ac:dyDescent="0.25">
      <c r="B33" s="130"/>
      <c r="C33" s="131"/>
      <c r="D33" s="132"/>
      <c r="E33" s="133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</row>
    <row r="34" spans="2:34" ht="14.25" customHeight="1" x14ac:dyDescent="0.25">
      <c r="B34" s="294" t="s">
        <v>136</v>
      </c>
      <c r="C34" s="294"/>
      <c r="D34" s="305" t="s">
        <v>138</v>
      </c>
      <c r="E34" s="306"/>
      <c r="F34" s="307"/>
      <c r="G34" s="352" t="s">
        <v>151</v>
      </c>
      <c r="H34" s="352"/>
      <c r="I34" s="353"/>
      <c r="J34" s="350">
        <v>0</v>
      </c>
      <c r="K34" s="351"/>
      <c r="M34" s="135" t="s">
        <v>152</v>
      </c>
      <c r="N34"/>
      <c r="O34" s="346"/>
      <c r="P34" s="347"/>
      <c r="Q34" s="347"/>
      <c r="R34" s="348"/>
      <c r="X34" s="338">
        <f ca="1">IF(D34&lt;&gt;"",IF(J34&lt;&gt;"",(IF(M34="CZK",1,VLOOKUP(TODAY(),'Kurzy CNB'!$A$1:$AH$227,VLOOKUP(M34,List1!$S$4:$T$36,2,FALSE),TRUE)))*J34,""),"")</f>
        <v>0</v>
      </c>
      <c r="Y34" s="338"/>
      <c r="Z34" s="125" t="s">
        <v>466</v>
      </c>
      <c r="AA34" s="125"/>
      <c r="AB34" s="125"/>
      <c r="AC34" s="125"/>
      <c r="AD34" s="125"/>
      <c r="AE34" s="125"/>
      <c r="AF34" s="125"/>
      <c r="AG34" s="125"/>
      <c r="AH34" s="125"/>
    </row>
    <row r="35" spans="2:34" ht="9" customHeight="1" x14ac:dyDescent="0.25">
      <c r="D35" s="349" t="str">
        <f>IF(AND(D34="Ano, na bank. Účet",M34&lt;&gt;"CZK"),"Na účet lze pouze CZK","")</f>
        <v/>
      </c>
      <c r="E35" s="349"/>
      <c r="F35" s="349"/>
      <c r="M35"/>
      <c r="N35"/>
      <c r="O35" s="345" t="str">
        <f>IF(D34="Ano, na bank. Účet","Číslo bankovního účtu","Datum vyplacení")</f>
        <v>Datum vyplacení</v>
      </c>
      <c r="P35" s="345"/>
      <c r="Q35" s="345"/>
      <c r="R35" s="34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</row>
    <row r="36" spans="2:34" ht="3.75" customHeight="1" x14ac:dyDescent="0.25"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</row>
    <row r="37" spans="2:34" ht="15" customHeight="1" x14ac:dyDescent="0.25">
      <c r="B37" s="344" t="s">
        <v>119</v>
      </c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</row>
    <row r="38" spans="2:34" ht="8.25" customHeight="1" x14ac:dyDescent="0.25">
      <c r="B38" s="341" t="s">
        <v>446</v>
      </c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</row>
    <row r="39" spans="2:34" ht="6" customHeight="1" x14ac:dyDescent="0.25"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</row>
    <row r="40" spans="2:34" ht="13.5" customHeight="1" x14ac:dyDescent="0.25">
      <c r="B40" s="294" t="s">
        <v>120</v>
      </c>
      <c r="C40" s="294"/>
      <c r="F40" s="291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3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</row>
    <row r="41" spans="2:34" ht="3" customHeight="1" x14ac:dyDescent="0.25"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</row>
    <row r="42" spans="2:34" ht="13.5" customHeight="1" x14ac:dyDescent="0.25">
      <c r="B42" s="294" t="s">
        <v>122</v>
      </c>
      <c r="C42" s="294"/>
      <c r="F42" s="319" t="str">
        <f>IF(D4="","",D4)</f>
        <v/>
      </c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1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</row>
    <row r="43" spans="2:34" ht="3" customHeight="1" x14ac:dyDescent="0.25"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</row>
    <row r="44" spans="2:34" ht="13.5" customHeight="1" x14ac:dyDescent="0.25">
      <c r="B44" s="294" t="s">
        <v>123</v>
      </c>
      <c r="C44" s="294"/>
      <c r="F44" s="300"/>
      <c r="G44" s="301"/>
      <c r="H44" s="302"/>
      <c r="J44" s="294" t="s">
        <v>124</v>
      </c>
      <c r="K44" s="294"/>
      <c r="L44" s="291"/>
      <c r="M44" s="292"/>
      <c r="N44" s="292"/>
      <c r="O44" s="292"/>
      <c r="P44" s="292"/>
      <c r="Q44" s="292"/>
      <c r="R44" s="293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</row>
    <row r="45" spans="2:34" ht="3" customHeight="1" x14ac:dyDescent="0.25"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</row>
    <row r="46" spans="2:34" ht="13.5" customHeight="1" x14ac:dyDescent="0.25">
      <c r="B46" s="339" t="s">
        <v>467</v>
      </c>
      <c r="C46" s="339"/>
      <c r="D46" s="339"/>
      <c r="E46" s="339"/>
      <c r="F46" s="300"/>
      <c r="G46" s="301"/>
      <c r="H46" s="301"/>
      <c r="I46" s="302"/>
      <c r="J46" s="322" t="s">
        <v>125</v>
      </c>
      <c r="K46" s="323"/>
      <c r="L46" s="323"/>
      <c r="M46" s="324"/>
      <c r="N46" s="291"/>
      <c r="O46" s="292"/>
      <c r="P46" s="292"/>
      <c r="Q46" s="292"/>
      <c r="R46" s="293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</row>
    <row r="47" spans="2:34" ht="3" customHeight="1" x14ac:dyDescent="0.25"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</row>
    <row r="48" spans="2:34" ht="13.5" customHeight="1" x14ac:dyDescent="0.25">
      <c r="B48" s="294" t="s">
        <v>126</v>
      </c>
      <c r="C48" s="294"/>
      <c r="D48" s="294"/>
      <c r="F48" s="291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3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</row>
    <row r="49" spans="2:34" ht="3" customHeight="1" x14ac:dyDescent="0.25"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</row>
    <row r="50" spans="2:34" ht="13.5" customHeight="1" x14ac:dyDescent="0.25">
      <c r="B50" s="312" t="s">
        <v>127</v>
      </c>
      <c r="C50" s="312"/>
      <c r="D50" s="312"/>
      <c r="E50" s="312"/>
      <c r="F50" s="312"/>
      <c r="G50" s="312"/>
      <c r="H50" s="313" t="s">
        <v>129</v>
      </c>
      <c r="I50" s="314"/>
      <c r="J50" s="137" t="s">
        <v>487</v>
      </c>
      <c r="K50" s="240"/>
      <c r="L50" s="240"/>
      <c r="M50" s="240"/>
      <c r="N50" s="240"/>
      <c r="O50" s="240"/>
      <c r="P50" s="240"/>
      <c r="Q50" s="240"/>
      <c r="R50" s="240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</row>
    <row r="51" spans="2:34" ht="13.5" customHeight="1" x14ac:dyDescent="0.25">
      <c r="B51" s="137" t="s">
        <v>130</v>
      </c>
      <c r="C51" s="137"/>
      <c r="D51" s="137"/>
      <c r="E51" s="137"/>
      <c r="F51" s="137"/>
      <c r="G51" s="137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</row>
    <row r="52" spans="2:34" ht="12.75" customHeight="1" x14ac:dyDescent="0.25">
      <c r="B52" s="241" t="s">
        <v>447</v>
      </c>
      <c r="C52" s="325" t="s">
        <v>448</v>
      </c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</row>
    <row r="53" spans="2:34" ht="12.75" customHeight="1" x14ac:dyDescent="0.25">
      <c r="B53" s="241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</row>
    <row r="54" spans="2:34" ht="11.25" customHeight="1" x14ac:dyDescent="0.25">
      <c r="C54" s="325" t="str">
        <f>IF(OR(G18="V",G18="A - VV",G18="V - VV",G18="L - VV",G18="A - VV",G18="A",G18="L",)," - doklad o předpokládané výši jízdních výdajů za dopravní prostředek, za jehož použití mají být poskytnuty náhrady jízdních výdajů","")</f>
        <v xml:space="preserve"> - doklad o předpokládané výši jízdních výdajů za dopravní prostředek, za jehož použití mají být poskytnuty náhrady jízdních výdajů</v>
      </c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</row>
    <row r="55" spans="2:34" x14ac:dyDescent="0.25">
      <c r="B55" s="280" t="str">
        <f>IFERROR("Prohlašuji, že podám vyúčtování pracovní cesty a zprávu pracovní cestě nejpozději do " &amp;TEXT(List1!AC1,"dd.mm.rrrr")&amp;".","")</f>
        <v>Prohlašuji, že podám vyúčtování pracovní cesty a zprávu pracovní cestě nejpozději do 24.06.2022.</v>
      </c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</row>
    <row r="56" spans="2:34" ht="27" customHeight="1" x14ac:dyDescent="0.25">
      <c r="B56" s="327" t="str">
        <f>"Žádám o náhradu jízdních výdajů  "&amp;IF(G18="VV","za každý kilometr jízdy sazbou základní náhrady a náhradou za spotřebované pohonné hmoty podle zákonných sazeb platných v době konání pracovní cesty.",IF(OR(G18="V - VV",G18="V"),"ve výši odpovídající ceně jízdenky za vlak do výše " &amp; R20 &amp;" Kč.",IF(OR(G18="A - VV",G18="A"),"ve výši odpovídající ceně jízdenky za autobus do výše " &amp;R20&amp;" Kč.",IF(OR(G18="L - VV",G18="L"),"ve výši odpovídající ceně letenky do výše " &amp;R20&amp;" Kč.","- NE."))))</f>
        <v>Žádám o náhradu jízdních výdajů  ve výši odpovídající ceně jízdenky za autobus do výše 0 Kč.</v>
      </c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</row>
    <row r="57" spans="2:34" ht="10.5" customHeight="1" x14ac:dyDescent="0.25">
      <c r="H57" s="126"/>
      <c r="I57" s="126"/>
      <c r="K57"/>
      <c r="L57"/>
      <c r="M57"/>
      <c r="N57"/>
      <c r="O57"/>
      <c r="P57"/>
      <c r="Q57"/>
      <c r="R57"/>
      <c r="S57" s="140"/>
      <c r="T57" s="139"/>
      <c r="U57" s="139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</row>
    <row r="58" spans="2:34" ht="13.5" customHeight="1" x14ac:dyDescent="0.25">
      <c r="B58" s="316"/>
      <c r="C58" s="317"/>
      <c r="D58" s="318"/>
      <c r="E58"/>
      <c r="F58"/>
      <c r="G58"/>
      <c r="H58" s="126"/>
      <c r="I58" s="126"/>
      <c r="J58" s="140"/>
      <c r="S58" s="140"/>
      <c r="T58" s="140"/>
      <c r="U58" s="140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</row>
    <row r="59" spans="2:34" ht="13.5" customHeight="1" x14ac:dyDescent="0.25">
      <c r="B59" s="336" t="s">
        <v>117</v>
      </c>
      <c r="C59" s="336"/>
      <c r="D59" s="336"/>
      <c r="E59" s="242"/>
      <c r="F59" s="242"/>
      <c r="G59" s="242"/>
      <c r="H59" s="243"/>
      <c r="I59" s="243"/>
      <c r="J59" s="315" t="s">
        <v>118</v>
      </c>
      <c r="K59" s="315"/>
      <c r="L59" s="315"/>
      <c r="M59" s="315"/>
      <c r="N59" s="315"/>
      <c r="O59" s="315"/>
      <c r="P59" s="315"/>
      <c r="Q59" s="315"/>
      <c r="R59" s="315"/>
      <c r="S59" s="138"/>
      <c r="T59" s="138"/>
      <c r="U59" s="138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</row>
    <row r="60" spans="2:34" ht="5.25" customHeight="1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</row>
    <row r="61" spans="2:34" ht="8.25" customHeight="1" x14ac:dyDescent="0.25">
      <c r="B61" s="329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1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</row>
    <row r="62" spans="2:34" ht="16.5" customHeight="1" x14ac:dyDescent="0.25">
      <c r="B62" s="297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332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</row>
    <row r="63" spans="2:34" ht="3.75" customHeight="1" x14ac:dyDescent="0.25">
      <c r="B63" s="297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332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</row>
    <row r="64" spans="2:34" ht="3.75" customHeight="1" x14ac:dyDescent="0.25">
      <c r="B64" s="297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332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</row>
    <row r="65" spans="2:34" ht="13.5" customHeight="1" x14ac:dyDescent="0.25">
      <c r="B65" s="297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332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</row>
    <row r="66" spans="2:34" ht="7.5" customHeight="1" x14ac:dyDescent="0.25">
      <c r="B66" s="297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332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</row>
    <row r="67" spans="2:34" ht="3" customHeight="1" x14ac:dyDescent="0.25">
      <c r="B67" s="297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  <c r="R67" s="332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</row>
    <row r="68" spans="2:34" ht="12" customHeight="1" x14ac:dyDescent="0.25">
      <c r="B68" s="333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</row>
    <row r="69" spans="2:34" ht="12.75" customHeight="1" x14ac:dyDescent="0.25">
      <c r="B69" s="25" t="s">
        <v>477</v>
      </c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</row>
    <row r="70" spans="2:34" ht="24" customHeight="1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</row>
    <row r="71" spans="2:34" ht="14.25" customHeight="1" x14ac:dyDescent="0.25">
      <c r="B71" s="328" t="s">
        <v>450</v>
      </c>
      <c r="C71" s="328"/>
      <c r="D71" s="328"/>
      <c r="E71" s="328"/>
      <c r="F71" s="328"/>
      <c r="G71" s="328"/>
      <c r="H71" s="328"/>
      <c r="I71"/>
      <c r="J71"/>
      <c r="K71" s="328" t="s">
        <v>434</v>
      </c>
      <c r="L71" s="328"/>
      <c r="M71" s="328"/>
      <c r="N71" s="328"/>
      <c r="O71" s="328"/>
      <c r="P71" s="328"/>
      <c r="Q71" s="328"/>
      <c r="R71" s="328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</row>
    <row r="72" spans="2:34" ht="7.5" customHeight="1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</row>
    <row r="73" spans="2:34" ht="3" customHeight="1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</row>
    <row r="74" spans="2:34" ht="11.25" customHeight="1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</row>
    <row r="75" spans="2:34" ht="12.75" customHeight="1" x14ac:dyDescent="0.25">
      <c r="B75" s="328" t="s">
        <v>443</v>
      </c>
      <c r="C75" s="328"/>
      <c r="D75" s="328"/>
      <c r="E75" s="328"/>
      <c r="F75" s="328"/>
      <c r="G75" s="328"/>
      <c r="H75" s="328"/>
      <c r="I75" s="141"/>
      <c r="J75"/>
      <c r="K75" s="328" t="s">
        <v>131</v>
      </c>
      <c r="L75" s="328"/>
      <c r="M75" s="328"/>
      <c r="N75" s="328"/>
      <c r="O75" s="328"/>
      <c r="P75" s="328"/>
      <c r="Q75" s="328"/>
      <c r="R75" s="328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</row>
    <row r="76" spans="2:34" ht="3" customHeight="1" x14ac:dyDescent="0.25"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</row>
    <row r="77" spans="2:34" ht="13.5" customHeight="1" x14ac:dyDescent="0.25"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</row>
    <row r="78" spans="2:34" ht="9.75" customHeight="1" x14ac:dyDescent="0.25"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</row>
    <row r="79" spans="2:34" ht="13.5" customHeight="1" x14ac:dyDescent="0.25">
      <c r="B79" s="328" t="s">
        <v>135</v>
      </c>
      <c r="C79" s="328"/>
      <c r="D79" s="328"/>
      <c r="E79" s="328"/>
      <c r="F79" s="328"/>
      <c r="G79" s="328"/>
      <c r="H79" s="328"/>
      <c r="I79" s="141"/>
      <c r="K79" s="328" t="s">
        <v>504</v>
      </c>
      <c r="L79" s="328"/>
      <c r="M79" s="328"/>
      <c r="N79" s="328"/>
      <c r="O79" s="328"/>
      <c r="P79" s="328"/>
      <c r="Q79" s="328"/>
      <c r="R79" s="328"/>
    </row>
    <row r="80" spans="2:34" ht="13.5" customHeight="1" x14ac:dyDescent="0.25"/>
  </sheetData>
  <sheetProtection algorithmName="SHA-512" hashValue="SlN8xX28o5gCJnvbbJ5tzTxqO60iFZmngJknSia2vMUvFAPvcs7XyFV8jmKTGij/u3pz8mAd+bydx5F+SwQ7gA==" saltValue="ya/8iriVFHmuRVWgOZw0OQ==" spinCount="100000" sheet="1" objects="1" scenarios="1" formatCells="0" selectLockedCells="1"/>
  <mergeCells count="76">
    <mergeCell ref="B10:C10"/>
    <mergeCell ref="X34:Y34"/>
    <mergeCell ref="B46:E46"/>
    <mergeCell ref="F46:I46"/>
    <mergeCell ref="K32:P32"/>
    <mergeCell ref="B38:R39"/>
    <mergeCell ref="G32:I32"/>
    <mergeCell ref="B42:C42"/>
    <mergeCell ref="B37:R37"/>
    <mergeCell ref="O35:R35"/>
    <mergeCell ref="O34:R34"/>
    <mergeCell ref="B32:F32"/>
    <mergeCell ref="D35:F35"/>
    <mergeCell ref="E12:R12"/>
    <mergeCell ref="J34:K34"/>
    <mergeCell ref="G34:I34"/>
    <mergeCell ref="C54:R54"/>
    <mergeCell ref="B56:R56"/>
    <mergeCell ref="B79:H79"/>
    <mergeCell ref="B71:H71"/>
    <mergeCell ref="K71:R71"/>
    <mergeCell ref="K75:R75"/>
    <mergeCell ref="K79:R79"/>
    <mergeCell ref="B75:H75"/>
    <mergeCell ref="B61:R68"/>
    <mergeCell ref="B59:D59"/>
    <mergeCell ref="B50:G50"/>
    <mergeCell ref="H50:I50"/>
    <mergeCell ref="J59:R59"/>
    <mergeCell ref="B58:D58"/>
    <mergeCell ref="F40:R40"/>
    <mergeCell ref="B40:C40"/>
    <mergeCell ref="F42:R42"/>
    <mergeCell ref="B44:C44"/>
    <mergeCell ref="F44:H44"/>
    <mergeCell ref="J44:K44"/>
    <mergeCell ref="L44:R44"/>
    <mergeCell ref="B48:D48"/>
    <mergeCell ref="F48:R48"/>
    <mergeCell ref="N46:R46"/>
    <mergeCell ref="J46:M46"/>
    <mergeCell ref="C52:R53"/>
    <mergeCell ref="B34:C34"/>
    <mergeCell ref="D34:F34"/>
    <mergeCell ref="I18:M18"/>
    <mergeCell ref="N18:P18"/>
    <mergeCell ref="B24:C24"/>
    <mergeCell ref="B26:C26"/>
    <mergeCell ref="B22:J22"/>
    <mergeCell ref="K22:R22"/>
    <mergeCell ref="B30:D30"/>
    <mergeCell ref="F30:R30"/>
    <mergeCell ref="D28:P28"/>
    <mergeCell ref="B28:C28"/>
    <mergeCell ref="D24:P24"/>
    <mergeCell ref="J14:R14"/>
    <mergeCell ref="D16:R16"/>
    <mergeCell ref="B16:C16"/>
    <mergeCell ref="B18:F18"/>
    <mergeCell ref="B20:P20"/>
    <mergeCell ref="K1:R1"/>
    <mergeCell ref="D26:P26"/>
    <mergeCell ref="B4:C4"/>
    <mergeCell ref="D4:J4"/>
    <mergeCell ref="L4:R4"/>
    <mergeCell ref="F6:G6"/>
    <mergeCell ref="H6:I6"/>
    <mergeCell ref="J6:R6"/>
    <mergeCell ref="B14:C14"/>
    <mergeCell ref="F14:G14"/>
    <mergeCell ref="H14:I14"/>
    <mergeCell ref="B2:R2"/>
    <mergeCell ref="B8:C8"/>
    <mergeCell ref="D8:R8"/>
    <mergeCell ref="D10:R10"/>
    <mergeCell ref="B12:D12"/>
  </mergeCells>
  <conditionalFormatting sqref="G34:K34 B78:H79 X34 Z34">
    <cfRule type="expression" dxfId="23" priority="40">
      <formula>$D$34="ne"</formula>
    </cfRule>
  </conditionalFormatting>
  <conditionalFormatting sqref="M34">
    <cfRule type="expression" dxfId="22" priority="2">
      <formula>AND(D34="Ano, na bank. Účet",M34&lt;&gt;"CZK")</formula>
    </cfRule>
    <cfRule type="expression" dxfId="21" priority="19">
      <formula>$D$34="ne"</formula>
    </cfRule>
  </conditionalFormatting>
  <conditionalFormatting sqref="B36:R37 C52 B47:R51 B46 J46:R46 F46 B40:R45 B38">
    <cfRule type="expression" dxfId="20" priority="42">
      <formula>AND($G$18&lt;&gt;"VV",$G$18&lt;&gt;"V - VV",$G$18&lt;&gt;"A - VV",$G$18&lt;&gt;"L - VV")</formula>
    </cfRule>
  </conditionalFormatting>
  <conditionalFormatting sqref="B20:R20">
    <cfRule type="expression" dxfId="19" priority="44">
      <formula>OR($G$18="SJ",$G$18="SV")</formula>
    </cfRule>
  </conditionalFormatting>
  <conditionalFormatting sqref="Q18:R18 N18">
    <cfRule type="expression" dxfId="18" priority="3">
      <formula>AND($G$18&lt;&gt;"V",$G$18&lt;&gt;"A",$G$18&lt;&gt;"L")</formula>
    </cfRule>
  </conditionalFormatting>
  <conditionalFormatting sqref="O34:S35">
    <cfRule type="expression" dxfId="17" priority="46">
      <formula>OR($D$34="Ne",AND($D$34="Ano, na bank. účet",$M$34&lt;&gt;"CZK"))</formula>
    </cfRule>
  </conditionalFormatting>
  <conditionalFormatting sqref="D34:F34">
    <cfRule type="expression" dxfId="16" priority="1">
      <formula>AND(D34="Ano, na bank. Účet",M34&lt;&gt;"CZK")</formula>
    </cfRule>
  </conditionalFormatting>
  <pageMargins left="0.27559055118110237" right="0.27559055118110237" top="0.19685039370078741" bottom="0.39370078740157483" header="0.31496062992125984" footer="0.19685039370078741"/>
  <pageSetup paperSize="9" orientation="portrait" r:id="rId1"/>
  <headerFooter>
    <oddFooter>&amp;L&amp;7Univerzita Karlova Právnická fakulta 
nám. Curieových 901/7, 116 40  Praha 1&amp;C&amp;7IČO: 00216208 
 DIČ: CZ00216208&amp;R&amp;7v. 2022.10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B7C9B718-C5B3-412F-88D9-0C382E27FD6E}">
          <x14:formula1>
            <xm:f>List1!$B$3:$B$11</xm:f>
          </x14:formula1>
          <xm:sqref>G18</xm:sqref>
        </x14:dataValidation>
        <x14:dataValidation type="list" allowBlank="1" showInputMessage="1" showErrorMessage="1" xr:uid="{D861E12B-A8B0-44BE-A562-1DC53F797147}">
          <x14:formula1>
            <xm:f>List1!$L$2:$L$3</xm:f>
          </x14:formula1>
          <xm:sqref>H50</xm:sqref>
        </x14:dataValidation>
        <x14:dataValidation type="list" allowBlank="1" showInputMessage="1" showErrorMessage="1" xr:uid="{59200AE0-453B-4929-8A89-E243984DFF9E}">
          <x14:formula1>
            <xm:f>List1!$K$5:$K$7</xm:f>
          </x14:formula1>
          <xm:sqref>D34:F34</xm:sqref>
        </x14:dataValidation>
        <x14:dataValidation type="list" allowBlank="1" showInputMessage="1" showErrorMessage="1" xr:uid="{6E511E30-5F77-44DC-A597-C006F54BA438}">
          <x14:formula1>
            <xm:f>List1!$N$6:$N$7</xm:f>
          </x14:formula1>
          <xm:sqref>G32</xm:sqref>
        </x14:dataValidation>
        <x14:dataValidation type="list" allowBlank="1" showInputMessage="1" showErrorMessage="1" xr:uid="{61C733A1-BC11-406B-A22A-BBF790D2B952}">
          <x14:formula1>
            <xm:f>List1!$I$4:$I$37</xm:f>
          </x14:formula1>
          <xm:sqref>L34</xm:sqref>
        </x14:dataValidation>
        <x14:dataValidation type="list" allowBlank="1" showInputMessage="1" showErrorMessage="1" xr:uid="{47EC9AD6-1175-43D1-9FD6-03BB9AEBF926}">
          <x14:formula1>
            <xm:f>List1!$R$3:$R$7</xm:f>
          </x14:formula1>
          <xm:sqref>M34</xm:sqref>
        </x14:dataValidation>
        <x14:dataValidation type="list" allowBlank="1" showInputMessage="1" showErrorMessage="1" xr:uid="{4AF55554-F010-4FA0-9FC2-9191B64353CB}">
          <x14:formula1>
            <xm:f>List1!$N$2:$N$3</xm:f>
          </x14:formula1>
          <xm:sqref>R18</xm:sqref>
        </x14:dataValidation>
        <x14:dataValidation type="date" allowBlank="1" showInputMessage="1" showErrorMessage="1" xr:uid="{928E0670-62A2-49F4-9DB4-CA750E60C172}">
          <x14:formula1>
            <xm:f>List1!H1</xm:f>
          </x14:formula1>
          <x14:formula2>
            <xm:f>List1!H2</xm:f>
          </x14:formula2>
          <xm:sqref>F14:G14</xm:sqref>
        </x14:dataValidation>
        <x14:dataValidation type="date" allowBlank="1" showInputMessage="1" showErrorMessage="1" xr:uid="{AEA911BD-99B6-4DBC-818B-E8BF23837324}">
          <x14:formula1>
            <xm:f>List1!H1</xm:f>
          </x14:formula1>
          <x14:formula2>
            <xm:f>List1!H2</xm:f>
          </x14:formula2>
          <xm:sqref>F6:G6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AI60"/>
  <sheetViews>
    <sheetView showGridLines="0" showWhiteSpace="0" topLeftCell="G4" zoomScale="145" zoomScaleNormal="145" zoomScaleSheetLayoutView="115" zoomScalePageLayoutView="130" workbookViewId="0">
      <selection activeCell="R32" sqref="R32"/>
    </sheetView>
  </sheetViews>
  <sheetFormatPr defaultRowHeight="15" x14ac:dyDescent="0.25"/>
  <cols>
    <col min="1" max="1" width="0.7109375" customWidth="1"/>
    <col min="2" max="2" width="6.85546875" customWidth="1"/>
    <col min="3" max="3" width="5.140625" customWidth="1"/>
    <col min="4" max="4" width="12.28515625" customWidth="1"/>
    <col min="5" max="5" width="8.140625" customWidth="1"/>
    <col min="6" max="6" width="5.28515625" customWidth="1"/>
    <col min="7" max="7" width="5" customWidth="1"/>
    <col min="8" max="8" width="5.42578125" customWidth="1"/>
    <col min="9" max="9" width="6.140625" customWidth="1"/>
    <col min="10" max="11" width="7" customWidth="1"/>
    <col min="12" max="13" width="6.7109375" customWidth="1"/>
    <col min="14" max="16" width="7.42578125" customWidth="1"/>
    <col min="17" max="17" width="8.85546875" customWidth="1"/>
    <col min="18" max="18" width="7.140625" customWidth="1"/>
    <col min="19" max="19" width="0.7109375" customWidth="1"/>
    <col min="20" max="20" width="10.28515625" customWidth="1"/>
    <col min="21" max="21" width="21.5703125" customWidth="1"/>
    <col min="22" max="22" width="7.140625" customWidth="1"/>
    <col min="23" max="24" width="11.140625" customWidth="1"/>
    <col min="25" max="25" width="16.42578125" style="6" customWidth="1"/>
    <col min="26" max="27" width="11.7109375" style="6" customWidth="1"/>
    <col min="28" max="28" width="18.140625" style="6" customWidth="1"/>
    <col min="29" max="34" width="11.7109375" style="6" customWidth="1"/>
    <col min="267" max="267" width="6.28515625" customWidth="1"/>
    <col min="268" max="268" width="5.140625" customWidth="1"/>
    <col min="269" max="269" width="8.5703125" customWidth="1"/>
    <col min="270" max="270" width="6.5703125" customWidth="1"/>
    <col min="271" max="271" width="7.28515625" customWidth="1"/>
    <col min="272" max="272" width="4.85546875" customWidth="1"/>
    <col min="273" max="273" width="5.85546875" customWidth="1"/>
    <col min="274" max="276" width="6.140625" customWidth="1"/>
    <col min="277" max="277" width="6.5703125" customWidth="1"/>
    <col min="278" max="278" width="6.7109375" customWidth="1"/>
    <col min="279" max="279" width="6.140625" customWidth="1"/>
    <col min="280" max="280" width="7.42578125" customWidth="1"/>
    <col min="281" max="281" width="7.140625" customWidth="1"/>
    <col min="523" max="523" width="6.28515625" customWidth="1"/>
    <col min="524" max="524" width="5.140625" customWidth="1"/>
    <col min="525" max="525" width="8.5703125" customWidth="1"/>
    <col min="526" max="526" width="6.5703125" customWidth="1"/>
    <col min="527" max="527" width="7.28515625" customWidth="1"/>
    <col min="528" max="528" width="4.85546875" customWidth="1"/>
    <col min="529" max="529" width="5.85546875" customWidth="1"/>
    <col min="530" max="532" width="6.140625" customWidth="1"/>
    <col min="533" max="533" width="6.5703125" customWidth="1"/>
    <col min="534" max="534" width="6.7109375" customWidth="1"/>
    <col min="535" max="535" width="6.140625" customWidth="1"/>
    <col min="536" max="536" width="7.42578125" customWidth="1"/>
    <col min="537" max="537" width="7.140625" customWidth="1"/>
    <col min="779" max="779" width="6.28515625" customWidth="1"/>
    <col min="780" max="780" width="5.140625" customWidth="1"/>
    <col min="781" max="781" width="8.5703125" customWidth="1"/>
    <col min="782" max="782" width="6.5703125" customWidth="1"/>
    <col min="783" max="783" width="7.28515625" customWidth="1"/>
    <col min="784" max="784" width="4.85546875" customWidth="1"/>
    <col min="785" max="785" width="5.85546875" customWidth="1"/>
    <col min="786" max="788" width="6.140625" customWidth="1"/>
    <col min="789" max="789" width="6.5703125" customWidth="1"/>
    <col min="790" max="790" width="6.7109375" customWidth="1"/>
    <col min="791" max="791" width="6.140625" customWidth="1"/>
    <col min="792" max="792" width="7.42578125" customWidth="1"/>
    <col min="793" max="793" width="7.140625" customWidth="1"/>
    <col min="1035" max="1035" width="6.28515625" customWidth="1"/>
    <col min="1036" max="1036" width="5.140625" customWidth="1"/>
    <col min="1037" max="1037" width="8.5703125" customWidth="1"/>
    <col min="1038" max="1038" width="6.5703125" customWidth="1"/>
    <col min="1039" max="1039" width="7.28515625" customWidth="1"/>
    <col min="1040" max="1040" width="4.85546875" customWidth="1"/>
    <col min="1041" max="1041" width="5.85546875" customWidth="1"/>
    <col min="1042" max="1044" width="6.140625" customWidth="1"/>
    <col min="1045" max="1045" width="6.5703125" customWidth="1"/>
    <col min="1046" max="1046" width="6.7109375" customWidth="1"/>
    <col min="1047" max="1047" width="6.140625" customWidth="1"/>
    <col min="1048" max="1048" width="7.42578125" customWidth="1"/>
    <col min="1049" max="1049" width="7.140625" customWidth="1"/>
    <col min="1291" max="1291" width="6.28515625" customWidth="1"/>
    <col min="1292" max="1292" width="5.140625" customWidth="1"/>
    <col min="1293" max="1293" width="8.5703125" customWidth="1"/>
    <col min="1294" max="1294" width="6.5703125" customWidth="1"/>
    <col min="1295" max="1295" width="7.28515625" customWidth="1"/>
    <col min="1296" max="1296" width="4.85546875" customWidth="1"/>
    <col min="1297" max="1297" width="5.85546875" customWidth="1"/>
    <col min="1298" max="1300" width="6.140625" customWidth="1"/>
    <col min="1301" max="1301" width="6.5703125" customWidth="1"/>
    <col min="1302" max="1302" width="6.7109375" customWidth="1"/>
    <col min="1303" max="1303" width="6.140625" customWidth="1"/>
    <col min="1304" max="1304" width="7.42578125" customWidth="1"/>
    <col min="1305" max="1305" width="7.140625" customWidth="1"/>
    <col min="1547" max="1547" width="6.28515625" customWidth="1"/>
    <col min="1548" max="1548" width="5.140625" customWidth="1"/>
    <col min="1549" max="1549" width="8.5703125" customWidth="1"/>
    <col min="1550" max="1550" width="6.5703125" customWidth="1"/>
    <col min="1551" max="1551" width="7.28515625" customWidth="1"/>
    <col min="1552" max="1552" width="4.85546875" customWidth="1"/>
    <col min="1553" max="1553" width="5.85546875" customWidth="1"/>
    <col min="1554" max="1556" width="6.140625" customWidth="1"/>
    <col min="1557" max="1557" width="6.5703125" customWidth="1"/>
    <col min="1558" max="1558" width="6.7109375" customWidth="1"/>
    <col min="1559" max="1559" width="6.140625" customWidth="1"/>
    <col min="1560" max="1560" width="7.42578125" customWidth="1"/>
    <col min="1561" max="1561" width="7.140625" customWidth="1"/>
    <col min="1803" max="1803" width="6.28515625" customWidth="1"/>
    <col min="1804" max="1804" width="5.140625" customWidth="1"/>
    <col min="1805" max="1805" width="8.5703125" customWidth="1"/>
    <col min="1806" max="1806" width="6.5703125" customWidth="1"/>
    <col min="1807" max="1807" width="7.28515625" customWidth="1"/>
    <col min="1808" max="1808" width="4.85546875" customWidth="1"/>
    <col min="1809" max="1809" width="5.85546875" customWidth="1"/>
    <col min="1810" max="1812" width="6.140625" customWidth="1"/>
    <col min="1813" max="1813" width="6.5703125" customWidth="1"/>
    <col min="1814" max="1814" width="6.7109375" customWidth="1"/>
    <col min="1815" max="1815" width="6.140625" customWidth="1"/>
    <col min="1816" max="1816" width="7.42578125" customWidth="1"/>
    <col min="1817" max="1817" width="7.140625" customWidth="1"/>
    <col min="2059" max="2059" width="6.28515625" customWidth="1"/>
    <col min="2060" max="2060" width="5.140625" customWidth="1"/>
    <col min="2061" max="2061" width="8.5703125" customWidth="1"/>
    <col min="2062" max="2062" width="6.5703125" customWidth="1"/>
    <col min="2063" max="2063" width="7.28515625" customWidth="1"/>
    <col min="2064" max="2064" width="4.85546875" customWidth="1"/>
    <col min="2065" max="2065" width="5.85546875" customWidth="1"/>
    <col min="2066" max="2068" width="6.140625" customWidth="1"/>
    <col min="2069" max="2069" width="6.5703125" customWidth="1"/>
    <col min="2070" max="2070" width="6.7109375" customWidth="1"/>
    <col min="2071" max="2071" width="6.140625" customWidth="1"/>
    <col min="2072" max="2072" width="7.42578125" customWidth="1"/>
    <col min="2073" max="2073" width="7.140625" customWidth="1"/>
    <col min="2315" max="2315" width="6.28515625" customWidth="1"/>
    <col min="2316" max="2316" width="5.140625" customWidth="1"/>
    <col min="2317" max="2317" width="8.5703125" customWidth="1"/>
    <col min="2318" max="2318" width="6.5703125" customWidth="1"/>
    <col min="2319" max="2319" width="7.28515625" customWidth="1"/>
    <col min="2320" max="2320" width="4.85546875" customWidth="1"/>
    <col min="2321" max="2321" width="5.85546875" customWidth="1"/>
    <col min="2322" max="2324" width="6.140625" customWidth="1"/>
    <col min="2325" max="2325" width="6.5703125" customWidth="1"/>
    <col min="2326" max="2326" width="6.7109375" customWidth="1"/>
    <col min="2327" max="2327" width="6.140625" customWidth="1"/>
    <col min="2328" max="2328" width="7.42578125" customWidth="1"/>
    <col min="2329" max="2329" width="7.140625" customWidth="1"/>
    <col min="2571" max="2571" width="6.28515625" customWidth="1"/>
    <col min="2572" max="2572" width="5.140625" customWidth="1"/>
    <col min="2573" max="2573" width="8.5703125" customWidth="1"/>
    <col min="2574" max="2574" width="6.5703125" customWidth="1"/>
    <col min="2575" max="2575" width="7.28515625" customWidth="1"/>
    <col min="2576" max="2576" width="4.85546875" customWidth="1"/>
    <col min="2577" max="2577" width="5.85546875" customWidth="1"/>
    <col min="2578" max="2580" width="6.140625" customWidth="1"/>
    <col min="2581" max="2581" width="6.5703125" customWidth="1"/>
    <col min="2582" max="2582" width="6.7109375" customWidth="1"/>
    <col min="2583" max="2583" width="6.140625" customWidth="1"/>
    <col min="2584" max="2584" width="7.42578125" customWidth="1"/>
    <col min="2585" max="2585" width="7.140625" customWidth="1"/>
    <col min="2827" max="2827" width="6.28515625" customWidth="1"/>
    <col min="2828" max="2828" width="5.140625" customWidth="1"/>
    <col min="2829" max="2829" width="8.5703125" customWidth="1"/>
    <col min="2830" max="2830" width="6.5703125" customWidth="1"/>
    <col min="2831" max="2831" width="7.28515625" customWidth="1"/>
    <col min="2832" max="2832" width="4.85546875" customWidth="1"/>
    <col min="2833" max="2833" width="5.85546875" customWidth="1"/>
    <col min="2834" max="2836" width="6.140625" customWidth="1"/>
    <col min="2837" max="2837" width="6.5703125" customWidth="1"/>
    <col min="2838" max="2838" width="6.7109375" customWidth="1"/>
    <col min="2839" max="2839" width="6.140625" customWidth="1"/>
    <col min="2840" max="2840" width="7.42578125" customWidth="1"/>
    <col min="2841" max="2841" width="7.140625" customWidth="1"/>
    <col min="3083" max="3083" width="6.28515625" customWidth="1"/>
    <col min="3084" max="3084" width="5.140625" customWidth="1"/>
    <col min="3085" max="3085" width="8.5703125" customWidth="1"/>
    <col min="3086" max="3086" width="6.5703125" customWidth="1"/>
    <col min="3087" max="3087" width="7.28515625" customWidth="1"/>
    <col min="3088" max="3088" width="4.85546875" customWidth="1"/>
    <col min="3089" max="3089" width="5.85546875" customWidth="1"/>
    <col min="3090" max="3092" width="6.140625" customWidth="1"/>
    <col min="3093" max="3093" width="6.5703125" customWidth="1"/>
    <col min="3094" max="3094" width="6.7109375" customWidth="1"/>
    <col min="3095" max="3095" width="6.140625" customWidth="1"/>
    <col min="3096" max="3096" width="7.42578125" customWidth="1"/>
    <col min="3097" max="3097" width="7.140625" customWidth="1"/>
    <col min="3339" max="3339" width="6.28515625" customWidth="1"/>
    <col min="3340" max="3340" width="5.140625" customWidth="1"/>
    <col min="3341" max="3341" width="8.5703125" customWidth="1"/>
    <col min="3342" max="3342" width="6.5703125" customWidth="1"/>
    <col min="3343" max="3343" width="7.28515625" customWidth="1"/>
    <col min="3344" max="3344" width="4.85546875" customWidth="1"/>
    <col min="3345" max="3345" width="5.85546875" customWidth="1"/>
    <col min="3346" max="3348" width="6.140625" customWidth="1"/>
    <col min="3349" max="3349" width="6.5703125" customWidth="1"/>
    <col min="3350" max="3350" width="6.7109375" customWidth="1"/>
    <col min="3351" max="3351" width="6.140625" customWidth="1"/>
    <col min="3352" max="3352" width="7.42578125" customWidth="1"/>
    <col min="3353" max="3353" width="7.140625" customWidth="1"/>
    <col min="3595" max="3595" width="6.28515625" customWidth="1"/>
    <col min="3596" max="3596" width="5.140625" customWidth="1"/>
    <col min="3597" max="3597" width="8.5703125" customWidth="1"/>
    <col min="3598" max="3598" width="6.5703125" customWidth="1"/>
    <col min="3599" max="3599" width="7.28515625" customWidth="1"/>
    <col min="3600" max="3600" width="4.85546875" customWidth="1"/>
    <col min="3601" max="3601" width="5.85546875" customWidth="1"/>
    <col min="3602" max="3604" width="6.140625" customWidth="1"/>
    <col min="3605" max="3605" width="6.5703125" customWidth="1"/>
    <col min="3606" max="3606" width="6.7109375" customWidth="1"/>
    <col min="3607" max="3607" width="6.140625" customWidth="1"/>
    <col min="3608" max="3608" width="7.42578125" customWidth="1"/>
    <col min="3609" max="3609" width="7.140625" customWidth="1"/>
    <col min="3851" max="3851" width="6.28515625" customWidth="1"/>
    <col min="3852" max="3852" width="5.140625" customWidth="1"/>
    <col min="3853" max="3853" width="8.5703125" customWidth="1"/>
    <col min="3854" max="3854" width="6.5703125" customWidth="1"/>
    <col min="3855" max="3855" width="7.28515625" customWidth="1"/>
    <col min="3856" max="3856" width="4.85546875" customWidth="1"/>
    <col min="3857" max="3857" width="5.85546875" customWidth="1"/>
    <col min="3858" max="3860" width="6.140625" customWidth="1"/>
    <col min="3861" max="3861" width="6.5703125" customWidth="1"/>
    <col min="3862" max="3862" width="6.7109375" customWidth="1"/>
    <col min="3863" max="3863" width="6.140625" customWidth="1"/>
    <col min="3864" max="3864" width="7.42578125" customWidth="1"/>
    <col min="3865" max="3865" width="7.140625" customWidth="1"/>
    <col min="4107" max="4107" width="6.28515625" customWidth="1"/>
    <col min="4108" max="4108" width="5.140625" customWidth="1"/>
    <col min="4109" max="4109" width="8.5703125" customWidth="1"/>
    <col min="4110" max="4110" width="6.5703125" customWidth="1"/>
    <col min="4111" max="4111" width="7.28515625" customWidth="1"/>
    <col min="4112" max="4112" width="4.85546875" customWidth="1"/>
    <col min="4113" max="4113" width="5.85546875" customWidth="1"/>
    <col min="4114" max="4116" width="6.140625" customWidth="1"/>
    <col min="4117" max="4117" width="6.5703125" customWidth="1"/>
    <col min="4118" max="4118" width="6.7109375" customWidth="1"/>
    <col min="4119" max="4119" width="6.140625" customWidth="1"/>
    <col min="4120" max="4120" width="7.42578125" customWidth="1"/>
    <col min="4121" max="4121" width="7.140625" customWidth="1"/>
    <col min="4363" max="4363" width="6.28515625" customWidth="1"/>
    <col min="4364" max="4364" width="5.140625" customWidth="1"/>
    <col min="4365" max="4365" width="8.5703125" customWidth="1"/>
    <col min="4366" max="4366" width="6.5703125" customWidth="1"/>
    <col min="4367" max="4367" width="7.28515625" customWidth="1"/>
    <col min="4368" max="4368" width="4.85546875" customWidth="1"/>
    <col min="4369" max="4369" width="5.85546875" customWidth="1"/>
    <col min="4370" max="4372" width="6.140625" customWidth="1"/>
    <col min="4373" max="4373" width="6.5703125" customWidth="1"/>
    <col min="4374" max="4374" width="6.7109375" customWidth="1"/>
    <col min="4375" max="4375" width="6.140625" customWidth="1"/>
    <col min="4376" max="4376" width="7.42578125" customWidth="1"/>
    <col min="4377" max="4377" width="7.140625" customWidth="1"/>
    <col min="4619" max="4619" width="6.28515625" customWidth="1"/>
    <col min="4620" max="4620" width="5.140625" customWidth="1"/>
    <col min="4621" max="4621" width="8.5703125" customWidth="1"/>
    <col min="4622" max="4622" width="6.5703125" customWidth="1"/>
    <col min="4623" max="4623" width="7.28515625" customWidth="1"/>
    <col min="4624" max="4624" width="4.85546875" customWidth="1"/>
    <col min="4625" max="4625" width="5.85546875" customWidth="1"/>
    <col min="4626" max="4628" width="6.140625" customWidth="1"/>
    <col min="4629" max="4629" width="6.5703125" customWidth="1"/>
    <col min="4630" max="4630" width="6.7109375" customWidth="1"/>
    <col min="4631" max="4631" width="6.140625" customWidth="1"/>
    <col min="4632" max="4632" width="7.42578125" customWidth="1"/>
    <col min="4633" max="4633" width="7.140625" customWidth="1"/>
    <col min="4875" max="4875" width="6.28515625" customWidth="1"/>
    <col min="4876" max="4876" width="5.140625" customWidth="1"/>
    <col min="4877" max="4877" width="8.5703125" customWidth="1"/>
    <col min="4878" max="4878" width="6.5703125" customWidth="1"/>
    <col min="4879" max="4879" width="7.28515625" customWidth="1"/>
    <col min="4880" max="4880" width="4.85546875" customWidth="1"/>
    <col min="4881" max="4881" width="5.85546875" customWidth="1"/>
    <col min="4882" max="4884" width="6.140625" customWidth="1"/>
    <col min="4885" max="4885" width="6.5703125" customWidth="1"/>
    <col min="4886" max="4886" width="6.7109375" customWidth="1"/>
    <col min="4887" max="4887" width="6.140625" customWidth="1"/>
    <col min="4888" max="4888" width="7.42578125" customWidth="1"/>
    <col min="4889" max="4889" width="7.140625" customWidth="1"/>
    <col min="5131" max="5131" width="6.28515625" customWidth="1"/>
    <col min="5132" max="5132" width="5.140625" customWidth="1"/>
    <col min="5133" max="5133" width="8.5703125" customWidth="1"/>
    <col min="5134" max="5134" width="6.5703125" customWidth="1"/>
    <col min="5135" max="5135" width="7.28515625" customWidth="1"/>
    <col min="5136" max="5136" width="4.85546875" customWidth="1"/>
    <col min="5137" max="5137" width="5.85546875" customWidth="1"/>
    <col min="5138" max="5140" width="6.140625" customWidth="1"/>
    <col min="5141" max="5141" width="6.5703125" customWidth="1"/>
    <col min="5142" max="5142" width="6.7109375" customWidth="1"/>
    <col min="5143" max="5143" width="6.140625" customWidth="1"/>
    <col min="5144" max="5144" width="7.42578125" customWidth="1"/>
    <col min="5145" max="5145" width="7.140625" customWidth="1"/>
    <col min="5387" max="5387" width="6.28515625" customWidth="1"/>
    <col min="5388" max="5388" width="5.140625" customWidth="1"/>
    <col min="5389" max="5389" width="8.5703125" customWidth="1"/>
    <col min="5390" max="5390" width="6.5703125" customWidth="1"/>
    <col min="5391" max="5391" width="7.28515625" customWidth="1"/>
    <col min="5392" max="5392" width="4.85546875" customWidth="1"/>
    <col min="5393" max="5393" width="5.85546875" customWidth="1"/>
    <col min="5394" max="5396" width="6.140625" customWidth="1"/>
    <col min="5397" max="5397" width="6.5703125" customWidth="1"/>
    <col min="5398" max="5398" width="6.7109375" customWidth="1"/>
    <col min="5399" max="5399" width="6.140625" customWidth="1"/>
    <col min="5400" max="5400" width="7.42578125" customWidth="1"/>
    <col min="5401" max="5401" width="7.140625" customWidth="1"/>
    <col min="5643" max="5643" width="6.28515625" customWidth="1"/>
    <col min="5644" max="5644" width="5.140625" customWidth="1"/>
    <col min="5645" max="5645" width="8.5703125" customWidth="1"/>
    <col min="5646" max="5646" width="6.5703125" customWidth="1"/>
    <col min="5647" max="5647" width="7.28515625" customWidth="1"/>
    <col min="5648" max="5648" width="4.85546875" customWidth="1"/>
    <col min="5649" max="5649" width="5.85546875" customWidth="1"/>
    <col min="5650" max="5652" width="6.140625" customWidth="1"/>
    <col min="5653" max="5653" width="6.5703125" customWidth="1"/>
    <col min="5654" max="5654" width="6.7109375" customWidth="1"/>
    <col min="5655" max="5655" width="6.140625" customWidth="1"/>
    <col min="5656" max="5656" width="7.42578125" customWidth="1"/>
    <col min="5657" max="5657" width="7.140625" customWidth="1"/>
    <col min="5899" max="5899" width="6.28515625" customWidth="1"/>
    <col min="5900" max="5900" width="5.140625" customWidth="1"/>
    <col min="5901" max="5901" width="8.5703125" customWidth="1"/>
    <col min="5902" max="5902" width="6.5703125" customWidth="1"/>
    <col min="5903" max="5903" width="7.28515625" customWidth="1"/>
    <col min="5904" max="5904" width="4.85546875" customWidth="1"/>
    <col min="5905" max="5905" width="5.85546875" customWidth="1"/>
    <col min="5906" max="5908" width="6.140625" customWidth="1"/>
    <col min="5909" max="5909" width="6.5703125" customWidth="1"/>
    <col min="5910" max="5910" width="6.7109375" customWidth="1"/>
    <col min="5911" max="5911" width="6.140625" customWidth="1"/>
    <col min="5912" max="5912" width="7.42578125" customWidth="1"/>
    <col min="5913" max="5913" width="7.140625" customWidth="1"/>
    <col min="6155" max="6155" width="6.28515625" customWidth="1"/>
    <col min="6156" max="6156" width="5.140625" customWidth="1"/>
    <col min="6157" max="6157" width="8.5703125" customWidth="1"/>
    <col min="6158" max="6158" width="6.5703125" customWidth="1"/>
    <col min="6159" max="6159" width="7.28515625" customWidth="1"/>
    <col min="6160" max="6160" width="4.85546875" customWidth="1"/>
    <col min="6161" max="6161" width="5.85546875" customWidth="1"/>
    <col min="6162" max="6164" width="6.140625" customWidth="1"/>
    <col min="6165" max="6165" width="6.5703125" customWidth="1"/>
    <col min="6166" max="6166" width="6.7109375" customWidth="1"/>
    <col min="6167" max="6167" width="6.140625" customWidth="1"/>
    <col min="6168" max="6168" width="7.42578125" customWidth="1"/>
    <col min="6169" max="6169" width="7.140625" customWidth="1"/>
    <col min="6411" max="6411" width="6.28515625" customWidth="1"/>
    <col min="6412" max="6412" width="5.140625" customWidth="1"/>
    <col min="6413" max="6413" width="8.5703125" customWidth="1"/>
    <col min="6414" max="6414" width="6.5703125" customWidth="1"/>
    <col min="6415" max="6415" width="7.28515625" customWidth="1"/>
    <col min="6416" max="6416" width="4.85546875" customWidth="1"/>
    <col min="6417" max="6417" width="5.85546875" customWidth="1"/>
    <col min="6418" max="6420" width="6.140625" customWidth="1"/>
    <col min="6421" max="6421" width="6.5703125" customWidth="1"/>
    <col min="6422" max="6422" width="6.7109375" customWidth="1"/>
    <col min="6423" max="6423" width="6.140625" customWidth="1"/>
    <col min="6424" max="6424" width="7.42578125" customWidth="1"/>
    <col min="6425" max="6425" width="7.140625" customWidth="1"/>
    <col min="6667" max="6667" width="6.28515625" customWidth="1"/>
    <col min="6668" max="6668" width="5.140625" customWidth="1"/>
    <col min="6669" max="6669" width="8.5703125" customWidth="1"/>
    <col min="6670" max="6670" width="6.5703125" customWidth="1"/>
    <col min="6671" max="6671" width="7.28515625" customWidth="1"/>
    <col min="6672" max="6672" width="4.85546875" customWidth="1"/>
    <col min="6673" max="6673" width="5.85546875" customWidth="1"/>
    <col min="6674" max="6676" width="6.140625" customWidth="1"/>
    <col min="6677" max="6677" width="6.5703125" customWidth="1"/>
    <col min="6678" max="6678" width="6.7109375" customWidth="1"/>
    <col min="6679" max="6679" width="6.140625" customWidth="1"/>
    <col min="6680" max="6680" width="7.42578125" customWidth="1"/>
    <col min="6681" max="6681" width="7.140625" customWidth="1"/>
    <col min="6923" max="6923" width="6.28515625" customWidth="1"/>
    <col min="6924" max="6924" width="5.140625" customWidth="1"/>
    <col min="6925" max="6925" width="8.5703125" customWidth="1"/>
    <col min="6926" max="6926" width="6.5703125" customWidth="1"/>
    <col min="6927" max="6927" width="7.28515625" customWidth="1"/>
    <col min="6928" max="6928" width="4.85546875" customWidth="1"/>
    <col min="6929" max="6929" width="5.85546875" customWidth="1"/>
    <col min="6930" max="6932" width="6.140625" customWidth="1"/>
    <col min="6933" max="6933" width="6.5703125" customWidth="1"/>
    <col min="6934" max="6934" width="6.7109375" customWidth="1"/>
    <col min="6935" max="6935" width="6.140625" customWidth="1"/>
    <col min="6936" max="6936" width="7.42578125" customWidth="1"/>
    <col min="6937" max="6937" width="7.140625" customWidth="1"/>
    <col min="7179" max="7179" width="6.28515625" customWidth="1"/>
    <col min="7180" max="7180" width="5.140625" customWidth="1"/>
    <col min="7181" max="7181" width="8.5703125" customWidth="1"/>
    <col min="7182" max="7182" width="6.5703125" customWidth="1"/>
    <col min="7183" max="7183" width="7.28515625" customWidth="1"/>
    <col min="7184" max="7184" width="4.85546875" customWidth="1"/>
    <col min="7185" max="7185" width="5.85546875" customWidth="1"/>
    <col min="7186" max="7188" width="6.140625" customWidth="1"/>
    <col min="7189" max="7189" width="6.5703125" customWidth="1"/>
    <col min="7190" max="7190" width="6.7109375" customWidth="1"/>
    <col min="7191" max="7191" width="6.140625" customWidth="1"/>
    <col min="7192" max="7192" width="7.42578125" customWidth="1"/>
    <col min="7193" max="7193" width="7.140625" customWidth="1"/>
    <col min="7435" max="7435" width="6.28515625" customWidth="1"/>
    <col min="7436" max="7436" width="5.140625" customWidth="1"/>
    <col min="7437" max="7437" width="8.5703125" customWidth="1"/>
    <col min="7438" max="7438" width="6.5703125" customWidth="1"/>
    <col min="7439" max="7439" width="7.28515625" customWidth="1"/>
    <col min="7440" max="7440" width="4.85546875" customWidth="1"/>
    <col min="7441" max="7441" width="5.85546875" customWidth="1"/>
    <col min="7442" max="7444" width="6.140625" customWidth="1"/>
    <col min="7445" max="7445" width="6.5703125" customWidth="1"/>
    <col min="7446" max="7446" width="6.7109375" customWidth="1"/>
    <col min="7447" max="7447" width="6.140625" customWidth="1"/>
    <col min="7448" max="7448" width="7.42578125" customWidth="1"/>
    <col min="7449" max="7449" width="7.140625" customWidth="1"/>
    <col min="7691" max="7691" width="6.28515625" customWidth="1"/>
    <col min="7692" max="7692" width="5.140625" customWidth="1"/>
    <col min="7693" max="7693" width="8.5703125" customWidth="1"/>
    <col min="7694" max="7694" width="6.5703125" customWidth="1"/>
    <col min="7695" max="7695" width="7.28515625" customWidth="1"/>
    <col min="7696" max="7696" width="4.85546875" customWidth="1"/>
    <col min="7697" max="7697" width="5.85546875" customWidth="1"/>
    <col min="7698" max="7700" width="6.140625" customWidth="1"/>
    <col min="7701" max="7701" width="6.5703125" customWidth="1"/>
    <col min="7702" max="7702" width="6.7109375" customWidth="1"/>
    <col min="7703" max="7703" width="6.140625" customWidth="1"/>
    <col min="7704" max="7704" width="7.42578125" customWidth="1"/>
    <col min="7705" max="7705" width="7.140625" customWidth="1"/>
    <col min="7947" max="7947" width="6.28515625" customWidth="1"/>
    <col min="7948" max="7948" width="5.140625" customWidth="1"/>
    <col min="7949" max="7949" width="8.5703125" customWidth="1"/>
    <col min="7950" max="7950" width="6.5703125" customWidth="1"/>
    <col min="7951" max="7951" width="7.28515625" customWidth="1"/>
    <col min="7952" max="7952" width="4.85546875" customWidth="1"/>
    <col min="7953" max="7953" width="5.85546875" customWidth="1"/>
    <col min="7954" max="7956" width="6.140625" customWidth="1"/>
    <col min="7957" max="7957" width="6.5703125" customWidth="1"/>
    <col min="7958" max="7958" width="6.7109375" customWidth="1"/>
    <col min="7959" max="7959" width="6.140625" customWidth="1"/>
    <col min="7960" max="7960" width="7.42578125" customWidth="1"/>
    <col min="7961" max="7961" width="7.140625" customWidth="1"/>
    <col min="8203" max="8203" width="6.28515625" customWidth="1"/>
    <col min="8204" max="8204" width="5.140625" customWidth="1"/>
    <col min="8205" max="8205" width="8.5703125" customWidth="1"/>
    <col min="8206" max="8206" width="6.5703125" customWidth="1"/>
    <col min="8207" max="8207" width="7.28515625" customWidth="1"/>
    <col min="8208" max="8208" width="4.85546875" customWidth="1"/>
    <col min="8209" max="8209" width="5.85546875" customWidth="1"/>
    <col min="8210" max="8212" width="6.140625" customWidth="1"/>
    <col min="8213" max="8213" width="6.5703125" customWidth="1"/>
    <col min="8214" max="8214" width="6.7109375" customWidth="1"/>
    <col min="8215" max="8215" width="6.140625" customWidth="1"/>
    <col min="8216" max="8216" width="7.42578125" customWidth="1"/>
    <col min="8217" max="8217" width="7.140625" customWidth="1"/>
    <col min="8459" max="8459" width="6.28515625" customWidth="1"/>
    <col min="8460" max="8460" width="5.140625" customWidth="1"/>
    <col min="8461" max="8461" width="8.5703125" customWidth="1"/>
    <col min="8462" max="8462" width="6.5703125" customWidth="1"/>
    <col min="8463" max="8463" width="7.28515625" customWidth="1"/>
    <col min="8464" max="8464" width="4.85546875" customWidth="1"/>
    <col min="8465" max="8465" width="5.85546875" customWidth="1"/>
    <col min="8466" max="8468" width="6.140625" customWidth="1"/>
    <col min="8469" max="8469" width="6.5703125" customWidth="1"/>
    <col min="8470" max="8470" width="6.7109375" customWidth="1"/>
    <col min="8471" max="8471" width="6.140625" customWidth="1"/>
    <col min="8472" max="8472" width="7.42578125" customWidth="1"/>
    <col min="8473" max="8473" width="7.140625" customWidth="1"/>
    <col min="8715" max="8715" width="6.28515625" customWidth="1"/>
    <col min="8716" max="8716" width="5.140625" customWidth="1"/>
    <col min="8717" max="8717" width="8.5703125" customWidth="1"/>
    <col min="8718" max="8718" width="6.5703125" customWidth="1"/>
    <col min="8719" max="8719" width="7.28515625" customWidth="1"/>
    <col min="8720" max="8720" width="4.85546875" customWidth="1"/>
    <col min="8721" max="8721" width="5.85546875" customWidth="1"/>
    <col min="8722" max="8724" width="6.140625" customWidth="1"/>
    <col min="8725" max="8725" width="6.5703125" customWidth="1"/>
    <col min="8726" max="8726" width="6.7109375" customWidth="1"/>
    <col min="8727" max="8727" width="6.140625" customWidth="1"/>
    <col min="8728" max="8728" width="7.42578125" customWidth="1"/>
    <col min="8729" max="8729" width="7.140625" customWidth="1"/>
    <col min="8971" max="8971" width="6.28515625" customWidth="1"/>
    <col min="8972" max="8972" width="5.140625" customWidth="1"/>
    <col min="8973" max="8973" width="8.5703125" customWidth="1"/>
    <col min="8974" max="8974" width="6.5703125" customWidth="1"/>
    <col min="8975" max="8975" width="7.28515625" customWidth="1"/>
    <col min="8976" max="8976" width="4.85546875" customWidth="1"/>
    <col min="8977" max="8977" width="5.85546875" customWidth="1"/>
    <col min="8978" max="8980" width="6.140625" customWidth="1"/>
    <col min="8981" max="8981" width="6.5703125" customWidth="1"/>
    <col min="8982" max="8982" width="6.7109375" customWidth="1"/>
    <col min="8983" max="8983" width="6.140625" customWidth="1"/>
    <col min="8984" max="8984" width="7.42578125" customWidth="1"/>
    <col min="8985" max="8985" width="7.140625" customWidth="1"/>
    <col min="9227" max="9227" width="6.28515625" customWidth="1"/>
    <col min="9228" max="9228" width="5.140625" customWidth="1"/>
    <col min="9229" max="9229" width="8.5703125" customWidth="1"/>
    <col min="9230" max="9230" width="6.5703125" customWidth="1"/>
    <col min="9231" max="9231" width="7.28515625" customWidth="1"/>
    <col min="9232" max="9232" width="4.85546875" customWidth="1"/>
    <col min="9233" max="9233" width="5.85546875" customWidth="1"/>
    <col min="9234" max="9236" width="6.140625" customWidth="1"/>
    <col min="9237" max="9237" width="6.5703125" customWidth="1"/>
    <col min="9238" max="9238" width="6.7109375" customWidth="1"/>
    <col min="9239" max="9239" width="6.140625" customWidth="1"/>
    <col min="9240" max="9240" width="7.42578125" customWidth="1"/>
    <col min="9241" max="9241" width="7.140625" customWidth="1"/>
    <col min="9483" max="9483" width="6.28515625" customWidth="1"/>
    <col min="9484" max="9484" width="5.140625" customWidth="1"/>
    <col min="9485" max="9485" width="8.5703125" customWidth="1"/>
    <col min="9486" max="9486" width="6.5703125" customWidth="1"/>
    <col min="9487" max="9487" width="7.28515625" customWidth="1"/>
    <col min="9488" max="9488" width="4.85546875" customWidth="1"/>
    <col min="9489" max="9489" width="5.85546875" customWidth="1"/>
    <col min="9490" max="9492" width="6.140625" customWidth="1"/>
    <col min="9493" max="9493" width="6.5703125" customWidth="1"/>
    <col min="9494" max="9494" width="6.7109375" customWidth="1"/>
    <col min="9495" max="9495" width="6.140625" customWidth="1"/>
    <col min="9496" max="9496" width="7.42578125" customWidth="1"/>
    <col min="9497" max="9497" width="7.140625" customWidth="1"/>
    <col min="9739" max="9739" width="6.28515625" customWidth="1"/>
    <col min="9740" max="9740" width="5.140625" customWidth="1"/>
    <col min="9741" max="9741" width="8.5703125" customWidth="1"/>
    <col min="9742" max="9742" width="6.5703125" customWidth="1"/>
    <col min="9743" max="9743" width="7.28515625" customWidth="1"/>
    <col min="9744" max="9744" width="4.85546875" customWidth="1"/>
    <col min="9745" max="9745" width="5.85546875" customWidth="1"/>
    <col min="9746" max="9748" width="6.140625" customWidth="1"/>
    <col min="9749" max="9749" width="6.5703125" customWidth="1"/>
    <col min="9750" max="9750" width="6.7109375" customWidth="1"/>
    <col min="9751" max="9751" width="6.140625" customWidth="1"/>
    <col min="9752" max="9752" width="7.42578125" customWidth="1"/>
    <col min="9753" max="9753" width="7.140625" customWidth="1"/>
    <col min="9995" max="9995" width="6.28515625" customWidth="1"/>
    <col min="9996" max="9996" width="5.140625" customWidth="1"/>
    <col min="9997" max="9997" width="8.5703125" customWidth="1"/>
    <col min="9998" max="9998" width="6.5703125" customWidth="1"/>
    <col min="9999" max="9999" width="7.28515625" customWidth="1"/>
    <col min="10000" max="10000" width="4.85546875" customWidth="1"/>
    <col min="10001" max="10001" width="5.85546875" customWidth="1"/>
    <col min="10002" max="10004" width="6.140625" customWidth="1"/>
    <col min="10005" max="10005" width="6.5703125" customWidth="1"/>
    <col min="10006" max="10006" width="6.7109375" customWidth="1"/>
    <col min="10007" max="10007" width="6.140625" customWidth="1"/>
    <col min="10008" max="10008" width="7.42578125" customWidth="1"/>
    <col min="10009" max="10009" width="7.140625" customWidth="1"/>
    <col min="10251" max="10251" width="6.28515625" customWidth="1"/>
    <col min="10252" max="10252" width="5.140625" customWidth="1"/>
    <col min="10253" max="10253" width="8.5703125" customWidth="1"/>
    <col min="10254" max="10254" width="6.5703125" customWidth="1"/>
    <col min="10255" max="10255" width="7.28515625" customWidth="1"/>
    <col min="10256" max="10256" width="4.85546875" customWidth="1"/>
    <col min="10257" max="10257" width="5.85546875" customWidth="1"/>
    <col min="10258" max="10260" width="6.140625" customWidth="1"/>
    <col min="10261" max="10261" width="6.5703125" customWidth="1"/>
    <col min="10262" max="10262" width="6.7109375" customWidth="1"/>
    <col min="10263" max="10263" width="6.140625" customWidth="1"/>
    <col min="10264" max="10264" width="7.42578125" customWidth="1"/>
    <col min="10265" max="10265" width="7.140625" customWidth="1"/>
    <col min="10507" max="10507" width="6.28515625" customWidth="1"/>
    <col min="10508" max="10508" width="5.140625" customWidth="1"/>
    <col min="10509" max="10509" width="8.5703125" customWidth="1"/>
    <col min="10510" max="10510" width="6.5703125" customWidth="1"/>
    <col min="10511" max="10511" width="7.28515625" customWidth="1"/>
    <col min="10512" max="10512" width="4.85546875" customWidth="1"/>
    <col min="10513" max="10513" width="5.85546875" customWidth="1"/>
    <col min="10514" max="10516" width="6.140625" customWidth="1"/>
    <col min="10517" max="10517" width="6.5703125" customWidth="1"/>
    <col min="10518" max="10518" width="6.7109375" customWidth="1"/>
    <col min="10519" max="10519" width="6.140625" customWidth="1"/>
    <col min="10520" max="10520" width="7.42578125" customWidth="1"/>
    <col min="10521" max="10521" width="7.140625" customWidth="1"/>
    <col min="10763" max="10763" width="6.28515625" customWidth="1"/>
    <col min="10764" max="10764" width="5.140625" customWidth="1"/>
    <col min="10765" max="10765" width="8.5703125" customWidth="1"/>
    <col min="10766" max="10766" width="6.5703125" customWidth="1"/>
    <col min="10767" max="10767" width="7.28515625" customWidth="1"/>
    <col min="10768" max="10768" width="4.85546875" customWidth="1"/>
    <col min="10769" max="10769" width="5.85546875" customWidth="1"/>
    <col min="10770" max="10772" width="6.140625" customWidth="1"/>
    <col min="10773" max="10773" width="6.5703125" customWidth="1"/>
    <col min="10774" max="10774" width="6.7109375" customWidth="1"/>
    <col min="10775" max="10775" width="6.140625" customWidth="1"/>
    <col min="10776" max="10776" width="7.42578125" customWidth="1"/>
    <col min="10777" max="10777" width="7.140625" customWidth="1"/>
    <col min="11019" max="11019" width="6.28515625" customWidth="1"/>
    <col min="11020" max="11020" width="5.140625" customWidth="1"/>
    <col min="11021" max="11021" width="8.5703125" customWidth="1"/>
    <col min="11022" max="11022" width="6.5703125" customWidth="1"/>
    <col min="11023" max="11023" width="7.28515625" customWidth="1"/>
    <col min="11024" max="11024" width="4.85546875" customWidth="1"/>
    <col min="11025" max="11025" width="5.85546875" customWidth="1"/>
    <col min="11026" max="11028" width="6.140625" customWidth="1"/>
    <col min="11029" max="11029" width="6.5703125" customWidth="1"/>
    <col min="11030" max="11030" width="6.7109375" customWidth="1"/>
    <col min="11031" max="11031" width="6.140625" customWidth="1"/>
    <col min="11032" max="11032" width="7.42578125" customWidth="1"/>
    <col min="11033" max="11033" width="7.140625" customWidth="1"/>
    <col min="11275" max="11275" width="6.28515625" customWidth="1"/>
    <col min="11276" max="11276" width="5.140625" customWidth="1"/>
    <col min="11277" max="11277" width="8.5703125" customWidth="1"/>
    <col min="11278" max="11278" width="6.5703125" customWidth="1"/>
    <col min="11279" max="11279" width="7.28515625" customWidth="1"/>
    <col min="11280" max="11280" width="4.85546875" customWidth="1"/>
    <col min="11281" max="11281" width="5.85546875" customWidth="1"/>
    <col min="11282" max="11284" width="6.140625" customWidth="1"/>
    <col min="11285" max="11285" width="6.5703125" customWidth="1"/>
    <col min="11286" max="11286" width="6.7109375" customWidth="1"/>
    <col min="11287" max="11287" width="6.140625" customWidth="1"/>
    <col min="11288" max="11288" width="7.42578125" customWidth="1"/>
    <col min="11289" max="11289" width="7.140625" customWidth="1"/>
    <col min="11531" max="11531" width="6.28515625" customWidth="1"/>
    <col min="11532" max="11532" width="5.140625" customWidth="1"/>
    <col min="11533" max="11533" width="8.5703125" customWidth="1"/>
    <col min="11534" max="11534" width="6.5703125" customWidth="1"/>
    <col min="11535" max="11535" width="7.28515625" customWidth="1"/>
    <col min="11536" max="11536" width="4.85546875" customWidth="1"/>
    <col min="11537" max="11537" width="5.85546875" customWidth="1"/>
    <col min="11538" max="11540" width="6.140625" customWidth="1"/>
    <col min="11541" max="11541" width="6.5703125" customWidth="1"/>
    <col min="11542" max="11542" width="6.7109375" customWidth="1"/>
    <col min="11543" max="11543" width="6.140625" customWidth="1"/>
    <col min="11544" max="11544" width="7.42578125" customWidth="1"/>
    <col min="11545" max="11545" width="7.140625" customWidth="1"/>
    <col min="11787" max="11787" width="6.28515625" customWidth="1"/>
    <col min="11788" max="11788" width="5.140625" customWidth="1"/>
    <col min="11789" max="11789" width="8.5703125" customWidth="1"/>
    <col min="11790" max="11790" width="6.5703125" customWidth="1"/>
    <col min="11791" max="11791" width="7.28515625" customWidth="1"/>
    <col min="11792" max="11792" width="4.85546875" customWidth="1"/>
    <col min="11793" max="11793" width="5.85546875" customWidth="1"/>
    <col min="11794" max="11796" width="6.140625" customWidth="1"/>
    <col min="11797" max="11797" width="6.5703125" customWidth="1"/>
    <col min="11798" max="11798" width="6.7109375" customWidth="1"/>
    <col min="11799" max="11799" width="6.140625" customWidth="1"/>
    <col min="11800" max="11800" width="7.42578125" customWidth="1"/>
    <col min="11801" max="11801" width="7.140625" customWidth="1"/>
    <col min="12043" max="12043" width="6.28515625" customWidth="1"/>
    <col min="12044" max="12044" width="5.140625" customWidth="1"/>
    <col min="12045" max="12045" width="8.5703125" customWidth="1"/>
    <col min="12046" max="12046" width="6.5703125" customWidth="1"/>
    <col min="12047" max="12047" width="7.28515625" customWidth="1"/>
    <col min="12048" max="12048" width="4.85546875" customWidth="1"/>
    <col min="12049" max="12049" width="5.85546875" customWidth="1"/>
    <col min="12050" max="12052" width="6.140625" customWidth="1"/>
    <col min="12053" max="12053" width="6.5703125" customWidth="1"/>
    <col min="12054" max="12054" width="6.7109375" customWidth="1"/>
    <col min="12055" max="12055" width="6.140625" customWidth="1"/>
    <col min="12056" max="12056" width="7.42578125" customWidth="1"/>
    <col min="12057" max="12057" width="7.140625" customWidth="1"/>
    <col min="12299" max="12299" width="6.28515625" customWidth="1"/>
    <col min="12300" max="12300" width="5.140625" customWidth="1"/>
    <col min="12301" max="12301" width="8.5703125" customWidth="1"/>
    <col min="12302" max="12302" width="6.5703125" customWidth="1"/>
    <col min="12303" max="12303" width="7.28515625" customWidth="1"/>
    <col min="12304" max="12304" width="4.85546875" customWidth="1"/>
    <col min="12305" max="12305" width="5.85546875" customWidth="1"/>
    <col min="12306" max="12308" width="6.140625" customWidth="1"/>
    <col min="12309" max="12309" width="6.5703125" customWidth="1"/>
    <col min="12310" max="12310" width="6.7109375" customWidth="1"/>
    <col min="12311" max="12311" width="6.140625" customWidth="1"/>
    <col min="12312" max="12312" width="7.42578125" customWidth="1"/>
    <col min="12313" max="12313" width="7.140625" customWidth="1"/>
    <col min="12555" max="12555" width="6.28515625" customWidth="1"/>
    <col min="12556" max="12556" width="5.140625" customWidth="1"/>
    <col min="12557" max="12557" width="8.5703125" customWidth="1"/>
    <col min="12558" max="12558" width="6.5703125" customWidth="1"/>
    <col min="12559" max="12559" width="7.28515625" customWidth="1"/>
    <col min="12560" max="12560" width="4.85546875" customWidth="1"/>
    <col min="12561" max="12561" width="5.85546875" customWidth="1"/>
    <col min="12562" max="12564" width="6.140625" customWidth="1"/>
    <col min="12565" max="12565" width="6.5703125" customWidth="1"/>
    <col min="12566" max="12566" width="6.7109375" customWidth="1"/>
    <col min="12567" max="12567" width="6.140625" customWidth="1"/>
    <col min="12568" max="12568" width="7.42578125" customWidth="1"/>
    <col min="12569" max="12569" width="7.140625" customWidth="1"/>
    <col min="12811" max="12811" width="6.28515625" customWidth="1"/>
    <col min="12812" max="12812" width="5.140625" customWidth="1"/>
    <col min="12813" max="12813" width="8.5703125" customWidth="1"/>
    <col min="12814" max="12814" width="6.5703125" customWidth="1"/>
    <col min="12815" max="12815" width="7.28515625" customWidth="1"/>
    <col min="12816" max="12816" width="4.85546875" customWidth="1"/>
    <col min="12817" max="12817" width="5.85546875" customWidth="1"/>
    <col min="12818" max="12820" width="6.140625" customWidth="1"/>
    <col min="12821" max="12821" width="6.5703125" customWidth="1"/>
    <col min="12822" max="12822" width="6.7109375" customWidth="1"/>
    <col min="12823" max="12823" width="6.140625" customWidth="1"/>
    <col min="12824" max="12824" width="7.42578125" customWidth="1"/>
    <col min="12825" max="12825" width="7.140625" customWidth="1"/>
    <col min="13067" max="13067" width="6.28515625" customWidth="1"/>
    <col min="13068" max="13068" width="5.140625" customWidth="1"/>
    <col min="13069" max="13069" width="8.5703125" customWidth="1"/>
    <col min="13070" max="13070" width="6.5703125" customWidth="1"/>
    <col min="13071" max="13071" width="7.28515625" customWidth="1"/>
    <col min="13072" max="13072" width="4.85546875" customWidth="1"/>
    <col min="13073" max="13073" width="5.85546875" customWidth="1"/>
    <col min="13074" max="13076" width="6.140625" customWidth="1"/>
    <col min="13077" max="13077" width="6.5703125" customWidth="1"/>
    <col min="13078" max="13078" width="6.7109375" customWidth="1"/>
    <col min="13079" max="13079" width="6.140625" customWidth="1"/>
    <col min="13080" max="13080" width="7.42578125" customWidth="1"/>
    <col min="13081" max="13081" width="7.140625" customWidth="1"/>
    <col min="13323" max="13323" width="6.28515625" customWidth="1"/>
    <col min="13324" max="13324" width="5.140625" customWidth="1"/>
    <col min="13325" max="13325" width="8.5703125" customWidth="1"/>
    <col min="13326" max="13326" width="6.5703125" customWidth="1"/>
    <col min="13327" max="13327" width="7.28515625" customWidth="1"/>
    <col min="13328" max="13328" width="4.85546875" customWidth="1"/>
    <col min="13329" max="13329" width="5.85546875" customWidth="1"/>
    <col min="13330" max="13332" width="6.140625" customWidth="1"/>
    <col min="13333" max="13333" width="6.5703125" customWidth="1"/>
    <col min="13334" max="13334" width="6.7109375" customWidth="1"/>
    <col min="13335" max="13335" width="6.140625" customWidth="1"/>
    <col min="13336" max="13336" width="7.42578125" customWidth="1"/>
    <col min="13337" max="13337" width="7.140625" customWidth="1"/>
    <col min="13579" max="13579" width="6.28515625" customWidth="1"/>
    <col min="13580" max="13580" width="5.140625" customWidth="1"/>
    <col min="13581" max="13581" width="8.5703125" customWidth="1"/>
    <col min="13582" max="13582" width="6.5703125" customWidth="1"/>
    <col min="13583" max="13583" width="7.28515625" customWidth="1"/>
    <col min="13584" max="13584" width="4.85546875" customWidth="1"/>
    <col min="13585" max="13585" width="5.85546875" customWidth="1"/>
    <col min="13586" max="13588" width="6.140625" customWidth="1"/>
    <col min="13589" max="13589" width="6.5703125" customWidth="1"/>
    <col min="13590" max="13590" width="6.7109375" customWidth="1"/>
    <col min="13591" max="13591" width="6.140625" customWidth="1"/>
    <col min="13592" max="13592" width="7.42578125" customWidth="1"/>
    <col min="13593" max="13593" width="7.140625" customWidth="1"/>
    <col min="13835" max="13835" width="6.28515625" customWidth="1"/>
    <col min="13836" max="13836" width="5.140625" customWidth="1"/>
    <col min="13837" max="13837" width="8.5703125" customWidth="1"/>
    <col min="13838" max="13838" width="6.5703125" customWidth="1"/>
    <col min="13839" max="13839" width="7.28515625" customWidth="1"/>
    <col min="13840" max="13840" width="4.85546875" customWidth="1"/>
    <col min="13841" max="13841" width="5.85546875" customWidth="1"/>
    <col min="13842" max="13844" width="6.140625" customWidth="1"/>
    <col min="13845" max="13845" width="6.5703125" customWidth="1"/>
    <col min="13846" max="13846" width="6.7109375" customWidth="1"/>
    <col min="13847" max="13847" width="6.140625" customWidth="1"/>
    <col min="13848" max="13848" width="7.42578125" customWidth="1"/>
    <col min="13849" max="13849" width="7.140625" customWidth="1"/>
    <col min="14091" max="14091" width="6.28515625" customWidth="1"/>
    <col min="14092" max="14092" width="5.140625" customWidth="1"/>
    <col min="14093" max="14093" width="8.5703125" customWidth="1"/>
    <col min="14094" max="14094" width="6.5703125" customWidth="1"/>
    <col min="14095" max="14095" width="7.28515625" customWidth="1"/>
    <col min="14096" max="14096" width="4.85546875" customWidth="1"/>
    <col min="14097" max="14097" width="5.85546875" customWidth="1"/>
    <col min="14098" max="14100" width="6.140625" customWidth="1"/>
    <col min="14101" max="14101" width="6.5703125" customWidth="1"/>
    <col min="14102" max="14102" width="6.7109375" customWidth="1"/>
    <col min="14103" max="14103" width="6.140625" customWidth="1"/>
    <col min="14104" max="14104" width="7.42578125" customWidth="1"/>
    <col min="14105" max="14105" width="7.140625" customWidth="1"/>
    <col min="14347" max="14347" width="6.28515625" customWidth="1"/>
    <col min="14348" max="14348" width="5.140625" customWidth="1"/>
    <col min="14349" max="14349" width="8.5703125" customWidth="1"/>
    <col min="14350" max="14350" width="6.5703125" customWidth="1"/>
    <col min="14351" max="14351" width="7.28515625" customWidth="1"/>
    <col min="14352" max="14352" width="4.85546875" customWidth="1"/>
    <col min="14353" max="14353" width="5.85546875" customWidth="1"/>
    <col min="14354" max="14356" width="6.140625" customWidth="1"/>
    <col min="14357" max="14357" width="6.5703125" customWidth="1"/>
    <col min="14358" max="14358" width="6.7109375" customWidth="1"/>
    <col min="14359" max="14359" width="6.140625" customWidth="1"/>
    <col min="14360" max="14360" width="7.42578125" customWidth="1"/>
    <col min="14361" max="14361" width="7.140625" customWidth="1"/>
    <col min="14603" max="14603" width="6.28515625" customWidth="1"/>
    <col min="14604" max="14604" width="5.140625" customWidth="1"/>
    <col min="14605" max="14605" width="8.5703125" customWidth="1"/>
    <col min="14606" max="14606" width="6.5703125" customWidth="1"/>
    <col min="14607" max="14607" width="7.28515625" customWidth="1"/>
    <col min="14608" max="14608" width="4.85546875" customWidth="1"/>
    <col min="14609" max="14609" width="5.85546875" customWidth="1"/>
    <col min="14610" max="14612" width="6.140625" customWidth="1"/>
    <col min="14613" max="14613" width="6.5703125" customWidth="1"/>
    <col min="14614" max="14614" width="6.7109375" customWidth="1"/>
    <col min="14615" max="14615" width="6.140625" customWidth="1"/>
    <col min="14616" max="14616" width="7.42578125" customWidth="1"/>
    <col min="14617" max="14617" width="7.140625" customWidth="1"/>
    <col min="14859" max="14859" width="6.28515625" customWidth="1"/>
    <col min="14860" max="14860" width="5.140625" customWidth="1"/>
    <col min="14861" max="14861" width="8.5703125" customWidth="1"/>
    <col min="14862" max="14862" width="6.5703125" customWidth="1"/>
    <col min="14863" max="14863" width="7.28515625" customWidth="1"/>
    <col min="14864" max="14864" width="4.85546875" customWidth="1"/>
    <col min="14865" max="14865" width="5.85546875" customWidth="1"/>
    <col min="14866" max="14868" width="6.140625" customWidth="1"/>
    <col min="14869" max="14869" width="6.5703125" customWidth="1"/>
    <col min="14870" max="14870" width="6.7109375" customWidth="1"/>
    <col min="14871" max="14871" width="6.140625" customWidth="1"/>
    <col min="14872" max="14872" width="7.42578125" customWidth="1"/>
    <col min="14873" max="14873" width="7.140625" customWidth="1"/>
    <col min="15115" max="15115" width="6.28515625" customWidth="1"/>
    <col min="15116" max="15116" width="5.140625" customWidth="1"/>
    <col min="15117" max="15117" width="8.5703125" customWidth="1"/>
    <col min="15118" max="15118" width="6.5703125" customWidth="1"/>
    <col min="15119" max="15119" width="7.28515625" customWidth="1"/>
    <col min="15120" max="15120" width="4.85546875" customWidth="1"/>
    <col min="15121" max="15121" width="5.85546875" customWidth="1"/>
    <col min="15122" max="15124" width="6.140625" customWidth="1"/>
    <col min="15125" max="15125" width="6.5703125" customWidth="1"/>
    <col min="15126" max="15126" width="6.7109375" customWidth="1"/>
    <col min="15127" max="15127" width="6.140625" customWidth="1"/>
    <col min="15128" max="15128" width="7.42578125" customWidth="1"/>
    <col min="15129" max="15129" width="7.140625" customWidth="1"/>
    <col min="15371" max="15371" width="6.28515625" customWidth="1"/>
    <col min="15372" max="15372" width="5.140625" customWidth="1"/>
    <col min="15373" max="15373" width="8.5703125" customWidth="1"/>
    <col min="15374" max="15374" width="6.5703125" customWidth="1"/>
    <col min="15375" max="15375" width="7.28515625" customWidth="1"/>
    <col min="15376" max="15376" width="4.85546875" customWidth="1"/>
    <col min="15377" max="15377" width="5.85546875" customWidth="1"/>
    <col min="15378" max="15380" width="6.140625" customWidth="1"/>
    <col min="15381" max="15381" width="6.5703125" customWidth="1"/>
    <col min="15382" max="15382" width="6.7109375" customWidth="1"/>
    <col min="15383" max="15383" width="6.140625" customWidth="1"/>
    <col min="15384" max="15384" width="7.42578125" customWidth="1"/>
    <col min="15385" max="15385" width="7.140625" customWidth="1"/>
    <col min="15627" max="15627" width="6.28515625" customWidth="1"/>
    <col min="15628" max="15628" width="5.140625" customWidth="1"/>
    <col min="15629" max="15629" width="8.5703125" customWidth="1"/>
    <col min="15630" max="15630" width="6.5703125" customWidth="1"/>
    <col min="15631" max="15631" width="7.28515625" customWidth="1"/>
    <col min="15632" max="15632" width="4.85546875" customWidth="1"/>
    <col min="15633" max="15633" width="5.85546875" customWidth="1"/>
    <col min="15634" max="15636" width="6.140625" customWidth="1"/>
    <col min="15637" max="15637" width="6.5703125" customWidth="1"/>
    <col min="15638" max="15638" width="6.7109375" customWidth="1"/>
    <col min="15639" max="15639" width="6.140625" customWidth="1"/>
    <col min="15640" max="15640" width="7.42578125" customWidth="1"/>
    <col min="15641" max="15641" width="7.140625" customWidth="1"/>
    <col min="15883" max="15883" width="6.28515625" customWidth="1"/>
    <col min="15884" max="15884" width="5.140625" customWidth="1"/>
    <col min="15885" max="15885" width="8.5703125" customWidth="1"/>
    <col min="15886" max="15886" width="6.5703125" customWidth="1"/>
    <col min="15887" max="15887" width="7.28515625" customWidth="1"/>
    <col min="15888" max="15888" width="4.85546875" customWidth="1"/>
    <col min="15889" max="15889" width="5.85546875" customWidth="1"/>
    <col min="15890" max="15892" width="6.140625" customWidth="1"/>
    <col min="15893" max="15893" width="6.5703125" customWidth="1"/>
    <col min="15894" max="15894" width="6.7109375" customWidth="1"/>
    <col min="15895" max="15895" width="6.140625" customWidth="1"/>
    <col min="15896" max="15896" width="7.42578125" customWidth="1"/>
    <col min="15897" max="15897" width="7.140625" customWidth="1"/>
    <col min="16139" max="16139" width="6.28515625" customWidth="1"/>
    <col min="16140" max="16140" width="5.140625" customWidth="1"/>
    <col min="16141" max="16141" width="8.5703125" customWidth="1"/>
    <col min="16142" max="16142" width="6.5703125" customWidth="1"/>
    <col min="16143" max="16143" width="7.28515625" customWidth="1"/>
    <col min="16144" max="16144" width="4.85546875" customWidth="1"/>
    <col min="16145" max="16145" width="5.85546875" customWidth="1"/>
    <col min="16146" max="16148" width="6.140625" customWidth="1"/>
    <col min="16149" max="16149" width="6.5703125" customWidth="1"/>
    <col min="16150" max="16150" width="6.7109375" customWidth="1"/>
    <col min="16151" max="16151" width="6.140625" customWidth="1"/>
    <col min="16152" max="16152" width="7.42578125" customWidth="1"/>
    <col min="16153" max="16153" width="7.140625" customWidth="1"/>
  </cols>
  <sheetData>
    <row r="1" spans="1:35" ht="83.25" customHeight="1" x14ac:dyDescent="0.25">
      <c r="AB1"/>
      <c r="AC1"/>
    </row>
    <row r="2" spans="1:35" ht="21" customHeight="1" x14ac:dyDescent="0.25">
      <c r="A2" s="86"/>
      <c r="B2" s="412" t="s">
        <v>20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95"/>
      <c r="T2" s="41"/>
      <c r="U2" s="41"/>
      <c r="V2" s="41"/>
      <c r="W2" s="41"/>
      <c r="X2" s="41"/>
      <c r="AB2"/>
      <c r="AC2"/>
    </row>
    <row r="3" spans="1:35" ht="39.75" customHeight="1" x14ac:dyDescent="0.25">
      <c r="A3" s="87"/>
      <c r="B3" s="413" t="s">
        <v>2</v>
      </c>
      <c r="C3" s="9"/>
      <c r="D3" s="414" t="s">
        <v>65</v>
      </c>
      <c r="E3" s="414"/>
      <c r="F3" s="10"/>
      <c r="G3" s="415" t="s">
        <v>3</v>
      </c>
      <c r="H3" s="415" t="s">
        <v>66</v>
      </c>
      <c r="I3" s="417" t="s">
        <v>43</v>
      </c>
      <c r="J3" s="39" t="s">
        <v>4</v>
      </c>
      <c r="K3" s="31" t="s">
        <v>5</v>
      </c>
      <c r="L3" s="31" t="s">
        <v>6</v>
      </c>
      <c r="M3" s="31" t="s">
        <v>7</v>
      </c>
      <c r="N3" s="30" t="s">
        <v>8</v>
      </c>
      <c r="O3" s="30"/>
      <c r="P3" s="30"/>
      <c r="Q3" s="30"/>
      <c r="R3" s="30" t="s">
        <v>9</v>
      </c>
      <c r="S3" s="89"/>
      <c r="T3" s="51"/>
      <c r="U3" s="51"/>
      <c r="V3" s="51"/>
      <c r="W3" s="51"/>
      <c r="X3" s="51"/>
      <c r="Z3" s="25"/>
      <c r="AA3" s="25"/>
      <c r="AB3"/>
      <c r="AC3"/>
    </row>
    <row r="4" spans="1:35" ht="19.5" customHeight="1" x14ac:dyDescent="0.25">
      <c r="A4" s="87"/>
      <c r="B4" s="413"/>
      <c r="C4" s="11"/>
      <c r="D4" s="414"/>
      <c r="E4" s="414"/>
      <c r="F4" s="12" t="s">
        <v>10</v>
      </c>
      <c r="G4" s="415"/>
      <c r="H4" s="416"/>
      <c r="I4" s="417"/>
      <c r="J4" s="30" t="s">
        <v>11</v>
      </c>
      <c r="K4" s="13" t="s">
        <v>11</v>
      </c>
      <c r="L4" s="30" t="s">
        <v>11</v>
      </c>
      <c r="M4" s="30" t="s">
        <v>11</v>
      </c>
      <c r="N4" s="30" t="s">
        <v>11</v>
      </c>
      <c r="O4" s="30"/>
      <c r="P4" s="30"/>
      <c r="Q4" s="30"/>
      <c r="R4" s="30" t="s">
        <v>11</v>
      </c>
      <c r="S4" s="89"/>
      <c r="T4" s="52"/>
      <c r="U4" s="52"/>
      <c r="V4" s="52"/>
      <c r="W4" s="52"/>
      <c r="X4" s="52"/>
      <c r="Y4" s="116" t="s">
        <v>31</v>
      </c>
      <c r="Z4" s="117"/>
    </row>
    <row r="5" spans="1:35" ht="13.5" customHeight="1" x14ac:dyDescent="0.25">
      <c r="A5" s="87"/>
      <c r="B5" s="377">
        <v>43832</v>
      </c>
      <c r="C5" s="35" t="s">
        <v>12</v>
      </c>
      <c r="D5" s="378"/>
      <c r="E5" s="379"/>
      <c r="F5" s="74">
        <v>0.41666666666666669</v>
      </c>
      <c r="G5" s="380"/>
      <c r="H5" s="381"/>
      <c r="I5" s="403" t="str">
        <f>IF(G5="VV",ROUND(H5*$Z$14+H5*$Z$18,2),"")</f>
        <v/>
      </c>
      <c r="J5" s="382"/>
      <c r="K5" s="408">
        <f>R26</f>
        <v>691</v>
      </c>
      <c r="L5" s="382"/>
      <c r="M5" s="382"/>
      <c r="N5" s="409">
        <f t="shared" ref="N5" si="0">(N(I5)+J5+L5+M5)</f>
        <v>0</v>
      </c>
      <c r="O5" s="106"/>
      <c r="P5" s="106"/>
      <c r="Q5" s="106">
        <f>VLOOKUP(P27,$AC$12:$AG$16,Q27+1,FALSE)</f>
        <v>91</v>
      </c>
      <c r="R5" s="411"/>
      <c r="S5" s="90"/>
      <c r="T5" s="355" t="str">
        <f>IF(B5="","",IF(B7="","konec","průběh"))</f>
        <v>průběh</v>
      </c>
      <c r="U5" s="406">
        <f>VLOOKUP(IF(B5="",0,(IF(B5=B3,1000,100)+IF(B5=B7,10,1))),List1!$B$22:$D$26,3,FALSE)</f>
        <v>4</v>
      </c>
      <c r="V5" s="61">
        <f>B5</f>
        <v>43832</v>
      </c>
      <c r="W5" s="60">
        <f>IF(V5&lt;&gt;0,B5+F5,"")</f>
        <v>43832.416666666664</v>
      </c>
      <c r="X5" s="43"/>
      <c r="Y5" s="118" t="s">
        <v>76</v>
      </c>
      <c r="Z5" s="119"/>
    </row>
    <row r="6" spans="1:35" ht="13.5" customHeight="1" x14ac:dyDescent="0.25">
      <c r="A6" s="87"/>
      <c r="B6" s="358"/>
      <c r="C6" s="36" t="s">
        <v>13</v>
      </c>
      <c r="D6" s="359"/>
      <c r="E6" s="360"/>
      <c r="F6" s="74">
        <v>0.5</v>
      </c>
      <c r="G6" s="362"/>
      <c r="H6" s="364"/>
      <c r="I6" s="367"/>
      <c r="J6" s="366"/>
      <c r="K6" s="368"/>
      <c r="L6" s="366"/>
      <c r="M6" s="366"/>
      <c r="N6" s="410"/>
      <c r="O6" s="107"/>
      <c r="P6" s="107"/>
      <c r="Q6" s="107"/>
      <c r="R6" s="376"/>
      <c r="S6" s="90"/>
      <c r="T6" s="356"/>
      <c r="U6" s="407"/>
      <c r="V6" s="61">
        <f>B5</f>
        <v>43832</v>
      </c>
      <c r="W6" s="60">
        <f>IF(V5&lt;&gt;0,B5+F6,"")</f>
        <v>43832.5</v>
      </c>
      <c r="X6" s="43"/>
      <c r="Y6" s="118" t="s">
        <v>44</v>
      </c>
      <c r="Z6" s="120" t="s">
        <v>37</v>
      </c>
      <c r="AA6" s="25"/>
      <c r="AD6" s="6">
        <f>AD8</f>
        <v>43832</v>
      </c>
    </row>
    <row r="7" spans="1:35" ht="13.5" customHeight="1" x14ac:dyDescent="0.25">
      <c r="A7" s="87"/>
      <c r="B7" s="357">
        <v>43835</v>
      </c>
      <c r="C7" s="36" t="s">
        <v>12</v>
      </c>
      <c r="D7" s="359"/>
      <c r="E7" s="360"/>
      <c r="F7" s="74">
        <v>0.625</v>
      </c>
      <c r="G7" s="361"/>
      <c r="H7" s="363"/>
      <c r="I7" s="367" t="str">
        <f>IF(G7="VV",ROUND(H7*$Z$14+H7*$Z$18,2),"")</f>
        <v/>
      </c>
      <c r="J7" s="365"/>
      <c r="K7" s="368"/>
      <c r="L7" s="365"/>
      <c r="M7" s="365"/>
      <c r="N7" s="371">
        <f t="shared" ref="N7" si="1">(N(I7)+J7+L7+M7)</f>
        <v>0</v>
      </c>
      <c r="O7" s="108"/>
      <c r="P7" s="108"/>
      <c r="Q7" s="108">
        <f>VLOOKUP(P28,$AC$12:$AG$16,Q28+1,FALSE)</f>
        <v>200</v>
      </c>
      <c r="R7" s="375"/>
      <c r="S7" s="90"/>
      <c r="T7" s="355" t="str">
        <f>IF(B7="","",IF(B9="","konec","průběh"))</f>
        <v>konec</v>
      </c>
      <c r="U7" s="406">
        <f>VLOOKUP(IF(B7="",0,(IF(B7=B5,1000,100)+IF(B7=B9,10,1))),List1!$B$22:$D$26,3,FALSE)</f>
        <v>4</v>
      </c>
      <c r="V7" s="61">
        <f>B7</f>
        <v>43835</v>
      </c>
      <c r="W7" s="60">
        <f>IF(V7&lt;&gt;0,B7+F7,"")</f>
        <v>43835.625</v>
      </c>
      <c r="X7" s="42"/>
      <c r="Y7" s="118" t="s">
        <v>27</v>
      </c>
      <c r="Z7" s="119">
        <v>3.1</v>
      </c>
      <c r="AA7" s="114"/>
    </row>
    <row r="8" spans="1:35" ht="13.5" customHeight="1" x14ac:dyDescent="0.25">
      <c r="A8" s="87"/>
      <c r="B8" s="358"/>
      <c r="C8" s="36" t="s">
        <v>13</v>
      </c>
      <c r="D8" s="359"/>
      <c r="E8" s="360"/>
      <c r="F8" s="74">
        <v>0.83333333333333337</v>
      </c>
      <c r="G8" s="362"/>
      <c r="H8" s="364"/>
      <c r="I8" s="367"/>
      <c r="J8" s="366"/>
      <c r="K8" s="368"/>
      <c r="L8" s="366"/>
      <c r="M8" s="366"/>
      <c r="N8" s="372"/>
      <c r="O8" s="107"/>
      <c r="P8" s="107"/>
      <c r="Q8" s="107"/>
      <c r="R8" s="376"/>
      <c r="S8" s="90"/>
      <c r="T8" s="356"/>
      <c r="U8" s="407"/>
      <c r="V8" s="61">
        <f>B7</f>
        <v>43835</v>
      </c>
      <c r="W8" s="60">
        <f>IF(V7&lt;&gt;0,B7+F8,"")</f>
        <v>43835.833333333336</v>
      </c>
      <c r="X8" s="43"/>
      <c r="Y8" s="118" t="s">
        <v>28</v>
      </c>
      <c r="Z8" s="119"/>
      <c r="AA8" s="167"/>
      <c r="AB8" s="167"/>
      <c r="AC8" s="167"/>
      <c r="AD8" s="181">
        <f>MIN(B5:B20)</f>
        <v>43832</v>
      </c>
      <c r="AE8" s="182">
        <f>MIN(W5:W20)</f>
        <v>43832.416666666664</v>
      </c>
      <c r="AF8" s="167"/>
      <c r="AG8" s="167"/>
      <c r="AH8" s="167"/>
      <c r="AI8" s="167"/>
    </row>
    <row r="9" spans="1:35" ht="13.5" customHeight="1" x14ac:dyDescent="0.25">
      <c r="A9" s="87"/>
      <c r="B9" s="357"/>
      <c r="C9" s="36" t="s">
        <v>12</v>
      </c>
      <c r="D9" s="359"/>
      <c r="E9" s="360"/>
      <c r="F9" s="74"/>
      <c r="G9" s="361"/>
      <c r="H9" s="363"/>
      <c r="I9" s="367" t="str">
        <f>IF(G9="VV",ROUND(H9*$Z$14+H9*$Z$18,2),"")</f>
        <v/>
      </c>
      <c r="J9" s="365"/>
      <c r="K9" s="368"/>
      <c r="L9" s="365"/>
      <c r="M9" s="365"/>
      <c r="N9" s="371">
        <f>(N(I9)+J9+L9+M9)</f>
        <v>0</v>
      </c>
      <c r="O9" s="108"/>
      <c r="P9" s="108"/>
      <c r="Q9" s="108"/>
      <c r="R9" s="375"/>
      <c r="S9" s="90"/>
      <c r="T9" s="355" t="str">
        <f>IF(B9="","",IF(B11="","konec","průběh"))</f>
        <v/>
      </c>
      <c r="U9" s="406">
        <f>VLOOKUP(IF(B9="",0,(IF(B9=B7,1000,100)+IF(B9=B11,10,1))),List1!$B$22:$D$26,3,FALSE)</f>
        <v>5</v>
      </c>
      <c r="V9" s="61">
        <f>B9</f>
        <v>0</v>
      </c>
      <c r="W9" s="60" t="str">
        <f>IF(V9&lt;&gt;0,B9+F9,"")</f>
        <v/>
      </c>
      <c r="X9" s="53"/>
      <c r="Y9" s="118" t="s">
        <v>29</v>
      </c>
      <c r="Z9" s="119"/>
      <c r="AA9" s="167"/>
      <c r="AB9" s="167"/>
      <c r="AC9" s="167"/>
      <c r="AD9" s="181">
        <f>MAX(B5:B20)</f>
        <v>43835</v>
      </c>
      <c r="AE9" s="182">
        <f>MAX(W5:W20)</f>
        <v>43835.833333333336</v>
      </c>
      <c r="AF9" s="167"/>
      <c r="AG9" s="167"/>
      <c r="AH9" s="167"/>
      <c r="AI9" s="167"/>
    </row>
    <row r="10" spans="1:35" ht="13.5" customHeight="1" x14ac:dyDescent="0.25">
      <c r="A10" s="87"/>
      <c r="B10" s="358"/>
      <c r="C10" s="36" t="s">
        <v>13</v>
      </c>
      <c r="D10" s="359"/>
      <c r="E10" s="360"/>
      <c r="F10" s="74"/>
      <c r="G10" s="362"/>
      <c r="H10" s="364"/>
      <c r="I10" s="367"/>
      <c r="J10" s="366"/>
      <c r="K10" s="368"/>
      <c r="L10" s="366"/>
      <c r="M10" s="366"/>
      <c r="N10" s="372"/>
      <c r="O10" s="107"/>
      <c r="P10" s="107"/>
      <c r="Q10" s="107"/>
      <c r="R10" s="376"/>
      <c r="S10" s="90"/>
      <c r="T10" s="356"/>
      <c r="U10" s="407"/>
      <c r="V10" s="61">
        <f>B9</f>
        <v>0</v>
      </c>
      <c r="W10" s="60" t="str">
        <f>IF(V9&lt;&gt;0,B9+F10,"")</f>
        <v/>
      </c>
      <c r="X10" s="54"/>
      <c r="Y10" s="118" t="s">
        <v>30</v>
      </c>
      <c r="Z10" s="119"/>
      <c r="AA10" s="167"/>
      <c r="AB10" s="167"/>
      <c r="AC10" s="167"/>
      <c r="AD10" s="167"/>
      <c r="AE10" s="167"/>
      <c r="AF10" s="167"/>
      <c r="AG10" s="167"/>
      <c r="AH10" s="167"/>
      <c r="AI10" s="167"/>
    </row>
    <row r="11" spans="1:35" ht="13.5" customHeight="1" x14ac:dyDescent="0.25">
      <c r="A11" s="87"/>
      <c r="B11" s="357"/>
      <c r="C11" s="36" t="s">
        <v>12</v>
      </c>
      <c r="D11" s="359"/>
      <c r="E11" s="360"/>
      <c r="F11" s="74"/>
      <c r="G11" s="404"/>
      <c r="H11" s="405"/>
      <c r="I11" s="367" t="str">
        <f>IF(G11="VV",ROUND(H11*$Z$14+H11*$Z$18,2),"")</f>
        <v/>
      </c>
      <c r="J11" s="374"/>
      <c r="K11" s="368"/>
      <c r="L11" s="374"/>
      <c r="M11" s="374"/>
      <c r="N11" s="371">
        <f t="shared" ref="N11:N17" si="2">(N(I11)+J11+L11+M11)</f>
        <v>0</v>
      </c>
      <c r="O11" s="108"/>
      <c r="P11" s="108"/>
      <c r="Q11" s="108"/>
      <c r="R11" s="375"/>
      <c r="S11" s="90"/>
      <c r="T11" s="355" t="str">
        <f>IF(B11="","",IF(B13="","konec","průběh"))</f>
        <v/>
      </c>
      <c r="U11" s="406">
        <f>VLOOKUP(IF(B11="",0,(IF(B11=B9,1000,100)+IF(B11=B13,10,1))),List1!$B$22:$D$26,3,FALSE)</f>
        <v>5</v>
      </c>
      <c r="V11" s="61">
        <f>B11</f>
        <v>0</v>
      </c>
      <c r="W11" s="60" t="str">
        <f>IF(V11&lt;&gt;0,B11+F11,"")</f>
        <v/>
      </c>
      <c r="X11" s="55"/>
      <c r="Y11" s="116" t="s">
        <v>114</v>
      </c>
      <c r="Z11" s="121">
        <f>ROUND(AVERAGE(Z7:Z10),2)</f>
        <v>3.1</v>
      </c>
      <c r="AA11" s="25"/>
      <c r="AD11" s="6" t="s">
        <v>56</v>
      </c>
      <c r="AE11" s="6" t="s">
        <v>32</v>
      </c>
      <c r="AF11" s="6" t="s">
        <v>34</v>
      </c>
      <c r="AG11" s="6" t="s">
        <v>33</v>
      </c>
    </row>
    <row r="12" spans="1:35" ht="13.5" customHeight="1" x14ac:dyDescent="0.25">
      <c r="A12" s="87"/>
      <c r="B12" s="358"/>
      <c r="C12" s="50" t="s">
        <v>13</v>
      </c>
      <c r="D12" s="359"/>
      <c r="E12" s="360"/>
      <c r="F12" s="74"/>
      <c r="G12" s="404"/>
      <c r="H12" s="405"/>
      <c r="I12" s="367"/>
      <c r="J12" s="374"/>
      <c r="K12" s="368"/>
      <c r="L12" s="374"/>
      <c r="M12" s="374"/>
      <c r="N12" s="372"/>
      <c r="O12" s="109"/>
      <c r="P12" s="109"/>
      <c r="Q12" s="109"/>
      <c r="R12" s="400"/>
      <c r="S12" s="90"/>
      <c r="T12" s="356"/>
      <c r="U12" s="407"/>
      <c r="V12" s="61">
        <f>B11</f>
        <v>0</v>
      </c>
      <c r="W12" s="60" t="str">
        <f>IF(V11&lt;&gt;0,B11+F12,"")</f>
        <v/>
      </c>
      <c r="X12" s="56"/>
      <c r="Y12" s="118" t="s">
        <v>46</v>
      </c>
      <c r="Z12" s="119"/>
      <c r="AA12" s="114" t="s">
        <v>112</v>
      </c>
      <c r="AC12" s="6" t="s">
        <v>42</v>
      </c>
      <c r="AD12" s="6">
        <v>0</v>
      </c>
      <c r="AE12" s="62" t="s">
        <v>39</v>
      </c>
      <c r="AF12" s="62" t="s">
        <v>40</v>
      </c>
      <c r="AG12" s="62" t="s">
        <v>41</v>
      </c>
    </row>
    <row r="13" spans="1:35" ht="13.5" customHeight="1" x14ac:dyDescent="0.25">
      <c r="A13" s="87"/>
      <c r="B13" s="373"/>
      <c r="C13" s="49" t="s">
        <v>12</v>
      </c>
      <c r="D13" s="359"/>
      <c r="E13" s="360"/>
      <c r="F13" s="74"/>
      <c r="G13" s="404"/>
      <c r="H13" s="405"/>
      <c r="I13" s="367" t="str">
        <f>IF(G13="VV",ROUND(H13*$Z$14+H13*$Z$18,2),"")</f>
        <v/>
      </c>
      <c r="J13" s="374"/>
      <c r="K13" s="368"/>
      <c r="L13" s="374"/>
      <c r="M13" s="374"/>
      <c r="N13" s="371">
        <f t="shared" ref="N13:N19" si="3">(N(I13)+J13+L13+M13)</f>
        <v>0</v>
      </c>
      <c r="O13" s="109"/>
      <c r="P13" s="109"/>
      <c r="Q13" s="109"/>
      <c r="R13" s="400"/>
      <c r="S13" s="90"/>
      <c r="T13" s="355" t="str">
        <f>IF(B13="","",IF(B15="","konec","průběh"))</f>
        <v/>
      </c>
      <c r="U13" s="406">
        <f>VLOOKUP(IF(B13="",0,(IF(B13=B11,1000,100)+IF(B13=B15,10,1))),List1!$B$22:$D$26,3,FALSE)</f>
        <v>5</v>
      </c>
      <c r="V13" s="61">
        <f>B13</f>
        <v>0</v>
      </c>
      <c r="W13" s="60" t="str">
        <f>IF(V13&lt;&gt;0,B13+F13,"")</f>
        <v/>
      </c>
      <c r="X13" s="42"/>
      <c r="Y13" s="116" t="s">
        <v>38</v>
      </c>
      <c r="Z13" s="118"/>
      <c r="AA13" s="25"/>
      <c r="AC13" s="6">
        <v>0</v>
      </c>
      <c r="AD13" s="64">
        <v>0</v>
      </c>
      <c r="AE13" s="65">
        <v>90</v>
      </c>
      <c r="AF13" s="65">
        <v>140</v>
      </c>
      <c r="AG13" s="65">
        <v>200</v>
      </c>
    </row>
    <row r="14" spans="1:35" ht="13.5" customHeight="1" x14ac:dyDescent="0.25">
      <c r="A14" s="87"/>
      <c r="B14" s="358"/>
      <c r="C14" s="36" t="s">
        <v>13</v>
      </c>
      <c r="D14" s="359"/>
      <c r="E14" s="360"/>
      <c r="F14" s="74"/>
      <c r="G14" s="404"/>
      <c r="H14" s="405"/>
      <c r="I14" s="367"/>
      <c r="J14" s="374"/>
      <c r="K14" s="368"/>
      <c r="L14" s="374"/>
      <c r="M14" s="374"/>
      <c r="N14" s="372"/>
      <c r="O14" s="107"/>
      <c r="P14" s="107"/>
      <c r="Q14" s="107"/>
      <c r="R14" s="376"/>
      <c r="S14" s="90"/>
      <c r="T14" s="356"/>
      <c r="U14" s="407"/>
      <c r="V14" s="61">
        <f>B13</f>
        <v>0</v>
      </c>
      <c r="W14" s="60" t="str">
        <f>IF(V13&lt;&gt;0,B13+F14,"")</f>
        <v/>
      </c>
      <c r="X14" s="40"/>
      <c r="Y14" s="118" t="s">
        <v>45</v>
      </c>
      <c r="Z14" s="122">
        <v>4.0999999999999996</v>
      </c>
      <c r="AA14" s="72"/>
      <c r="AC14" s="6">
        <v>1</v>
      </c>
      <c r="AD14" s="6">
        <v>0</v>
      </c>
      <c r="AE14" s="63">
        <f>AE13*0.3</f>
        <v>27</v>
      </c>
      <c r="AF14" s="63">
        <f>0.65*AF13</f>
        <v>91</v>
      </c>
      <c r="AG14" s="63">
        <f>0.75*AG13</f>
        <v>150</v>
      </c>
    </row>
    <row r="15" spans="1:35" ht="13.5" customHeight="1" x14ac:dyDescent="0.25">
      <c r="A15" s="87"/>
      <c r="B15" s="357"/>
      <c r="C15" s="36" t="s">
        <v>12</v>
      </c>
      <c r="D15" s="359"/>
      <c r="E15" s="360"/>
      <c r="F15" s="74"/>
      <c r="G15" s="361"/>
      <c r="H15" s="363"/>
      <c r="I15" s="367" t="str">
        <f>IF(G15="VV",ROUND(H15*$Z$14+H15*$Z$18,2),"")</f>
        <v/>
      </c>
      <c r="J15" s="365"/>
      <c r="K15" s="368"/>
      <c r="L15" s="365"/>
      <c r="M15" s="365"/>
      <c r="N15" s="371">
        <f t="shared" ref="N15" si="4">(N(I15)+J15+L15+M15)</f>
        <v>0</v>
      </c>
      <c r="O15" s="108"/>
      <c r="P15" s="108"/>
      <c r="Q15" s="108"/>
      <c r="R15" s="375"/>
      <c r="S15" s="90"/>
      <c r="T15" s="355" t="str">
        <f>IF(B15="","",IF(B17="","konec","průběh"))</f>
        <v/>
      </c>
      <c r="U15" s="406">
        <f>VLOOKUP(IF(B15="",0,(IF(B15=B13,1000,100)+IF(B15=B17,10,1))),List1!$B$22:$D$26,3,FALSE)</f>
        <v>5</v>
      </c>
      <c r="V15" s="61">
        <f>B15</f>
        <v>0</v>
      </c>
      <c r="W15" s="60" t="str">
        <f>IF(V15&lt;&gt;0,B15+F15,"")</f>
        <v/>
      </c>
      <c r="X15" s="56"/>
      <c r="Y15" s="118" t="s">
        <v>35</v>
      </c>
      <c r="Z15" s="122">
        <v>33.1</v>
      </c>
      <c r="AA15" s="72"/>
      <c r="AC15" s="6">
        <v>2</v>
      </c>
      <c r="AD15" s="6">
        <v>0</v>
      </c>
      <c r="AE15" s="178">
        <v>0</v>
      </c>
      <c r="AF15" s="63">
        <f>0.3*AF13</f>
        <v>42</v>
      </c>
      <c r="AG15" s="63">
        <f>0.5*AG13</f>
        <v>100</v>
      </c>
    </row>
    <row r="16" spans="1:35" ht="13.5" customHeight="1" x14ac:dyDescent="0.25">
      <c r="A16" s="87"/>
      <c r="B16" s="358"/>
      <c r="C16" s="36" t="s">
        <v>13</v>
      </c>
      <c r="D16" s="359"/>
      <c r="E16" s="360"/>
      <c r="F16" s="74"/>
      <c r="G16" s="362"/>
      <c r="H16" s="364"/>
      <c r="I16" s="367"/>
      <c r="J16" s="366"/>
      <c r="K16" s="368"/>
      <c r="L16" s="366"/>
      <c r="M16" s="366"/>
      <c r="N16" s="372"/>
      <c r="O16" s="107"/>
      <c r="P16" s="107"/>
      <c r="Q16" s="107"/>
      <c r="R16" s="376"/>
      <c r="S16" s="90"/>
      <c r="T16" s="356"/>
      <c r="U16" s="407"/>
      <c r="V16" s="61">
        <f>B15</f>
        <v>0</v>
      </c>
      <c r="W16" s="60" t="str">
        <f>IF(V15&lt;&gt;0,B15+F16,"")</f>
        <v/>
      </c>
      <c r="X16" s="45"/>
      <c r="Y16" s="118" t="s">
        <v>36</v>
      </c>
      <c r="Z16" s="122">
        <v>37.1</v>
      </c>
      <c r="AA16" s="72"/>
      <c r="AC16" s="6">
        <v>3</v>
      </c>
      <c r="AD16" s="6">
        <v>0</v>
      </c>
      <c r="AE16" s="178">
        <v>0</v>
      </c>
      <c r="AF16" s="178">
        <v>0</v>
      </c>
      <c r="AG16" s="63">
        <f>0.25*AG13</f>
        <v>50</v>
      </c>
    </row>
    <row r="17" spans="1:32" ht="13.5" customHeight="1" x14ac:dyDescent="0.25">
      <c r="A17" s="87"/>
      <c r="B17" s="357"/>
      <c r="C17" s="36" t="s">
        <v>12</v>
      </c>
      <c r="D17" s="359"/>
      <c r="E17" s="360"/>
      <c r="F17" s="74"/>
      <c r="G17" s="361"/>
      <c r="H17" s="363"/>
      <c r="I17" s="367" t="str">
        <f>IF(G17="VV",ROUND(H17*$Z$14+H17*$Z$18,2),"")</f>
        <v/>
      </c>
      <c r="J17" s="365"/>
      <c r="K17" s="368"/>
      <c r="L17" s="365"/>
      <c r="M17" s="365"/>
      <c r="N17" s="371">
        <f t="shared" si="2"/>
        <v>0</v>
      </c>
      <c r="O17" s="108"/>
      <c r="P17" s="108"/>
      <c r="Q17" s="108"/>
      <c r="R17" s="375"/>
      <c r="S17" s="90"/>
      <c r="T17" s="355" t="str">
        <f>IF(B17="","",IF(B19="","konec","průběh"))</f>
        <v/>
      </c>
      <c r="U17" s="406">
        <f>VLOOKUP(IF(B17="",0,(IF(B17=B15,1000,100)+IF(B17=B19,10,1))),List1!$B$22:$D$26,3,FALSE)</f>
        <v>5</v>
      </c>
      <c r="V17" s="61">
        <f>B17</f>
        <v>0</v>
      </c>
      <c r="W17" s="60" t="str">
        <f>IF(V17&lt;&gt;0,B17+F17,"")</f>
        <v/>
      </c>
      <c r="X17" s="44"/>
      <c r="Y17" s="118" t="s">
        <v>37</v>
      </c>
      <c r="Z17" s="122">
        <v>33.6</v>
      </c>
      <c r="AA17" s="72"/>
    </row>
    <row r="18" spans="1:32" ht="13.5" customHeight="1" x14ac:dyDescent="0.25">
      <c r="A18" s="87"/>
      <c r="B18" s="358"/>
      <c r="C18" s="36" t="s">
        <v>13</v>
      </c>
      <c r="D18" s="359"/>
      <c r="E18" s="360"/>
      <c r="F18" s="74"/>
      <c r="G18" s="362"/>
      <c r="H18" s="364"/>
      <c r="I18" s="367"/>
      <c r="J18" s="366"/>
      <c r="K18" s="368"/>
      <c r="L18" s="366"/>
      <c r="M18" s="366"/>
      <c r="N18" s="372"/>
      <c r="O18" s="107"/>
      <c r="P18" s="107"/>
      <c r="Q18" s="107"/>
      <c r="R18" s="376"/>
      <c r="S18" s="90"/>
      <c r="T18" s="356"/>
      <c r="U18" s="407"/>
      <c r="V18" s="61">
        <f>B17</f>
        <v>0</v>
      </c>
      <c r="W18" s="60" t="str">
        <f>IF(V17&lt;&gt;0,B17+F18,"")</f>
        <v/>
      </c>
      <c r="X18" s="56"/>
      <c r="Y18" s="116" t="s">
        <v>62</v>
      </c>
      <c r="Z18" s="123">
        <f>ROUND(IF(Z12=0,(VLOOKUP(Z6,Y15:Z17,2,FALSE)),Z12)*Z11/100,4)</f>
        <v>1.0416000000000001</v>
      </c>
      <c r="AA18" s="113" t="str">
        <f>IF(Z12&lt;&gt;"","použita cena z dokladu","použita cena z vyhlášky")</f>
        <v>použita cena z vyhlášky</v>
      </c>
      <c r="AE18" s="62"/>
      <c r="AF18" s="62"/>
    </row>
    <row r="19" spans="1:32" ht="13.5" customHeight="1" x14ac:dyDescent="0.25">
      <c r="A19" s="87"/>
      <c r="B19" s="357"/>
      <c r="C19" s="36" t="s">
        <v>12</v>
      </c>
      <c r="D19" s="359"/>
      <c r="E19" s="360"/>
      <c r="F19" s="74"/>
      <c r="G19" s="361"/>
      <c r="H19" s="363"/>
      <c r="I19" s="367" t="str">
        <f>IF(G19="VV",ROUND(H19*$Z$14+H19*$Z$18,2),"")</f>
        <v/>
      </c>
      <c r="J19" s="365"/>
      <c r="K19" s="368"/>
      <c r="L19" s="365"/>
      <c r="M19" s="365"/>
      <c r="N19" s="371">
        <f t="shared" si="3"/>
        <v>0</v>
      </c>
      <c r="O19" s="108"/>
      <c r="P19" s="108"/>
      <c r="Q19" s="108"/>
      <c r="R19" s="375"/>
      <c r="S19" s="90"/>
      <c r="T19" s="355" t="str">
        <f>IF(B19="","",IF(B21="","konec","průběh"))</f>
        <v/>
      </c>
      <c r="U19" s="406">
        <f>VLOOKUP(IF(B19="",0,(IF(B19=B17,1000,100)+IF(B19=B21,10,1))),List1!$B$22:$D$26,3,FALSE)</f>
        <v>5</v>
      </c>
      <c r="V19" s="61">
        <f>B19</f>
        <v>0</v>
      </c>
      <c r="W19" s="60" t="str">
        <f>IF(V19&lt;&gt;0,B19+F19,"")</f>
        <v/>
      </c>
      <c r="X19" s="24"/>
    </row>
    <row r="20" spans="1:32" ht="13.5" customHeight="1" x14ac:dyDescent="0.25">
      <c r="A20" s="87"/>
      <c r="B20" s="418"/>
      <c r="C20" s="37" t="s">
        <v>13</v>
      </c>
      <c r="D20" s="421"/>
      <c r="E20" s="422"/>
      <c r="F20" s="75"/>
      <c r="G20" s="419"/>
      <c r="H20" s="420"/>
      <c r="I20" s="423"/>
      <c r="J20" s="370"/>
      <c r="K20" s="369"/>
      <c r="L20" s="370"/>
      <c r="M20" s="370"/>
      <c r="N20" s="401"/>
      <c r="O20" s="110"/>
      <c r="P20" s="110"/>
      <c r="Q20" s="110"/>
      <c r="R20" s="402"/>
      <c r="S20" s="90"/>
      <c r="T20" s="356"/>
      <c r="U20" s="407"/>
      <c r="V20" s="61">
        <f>B19</f>
        <v>0</v>
      </c>
      <c r="W20" s="60" t="str">
        <f>IF(V19&lt;&gt;0,B19+F20,"")</f>
        <v/>
      </c>
      <c r="X20" s="57"/>
    </row>
    <row r="21" spans="1:32" ht="13.5" customHeight="1" x14ac:dyDescent="0.25">
      <c r="A21" s="1"/>
      <c r="G21" s="14"/>
      <c r="H21" s="15" t="s">
        <v>8</v>
      </c>
      <c r="I21" s="73">
        <f>SUM(I5:I20)</f>
        <v>0</v>
      </c>
      <c r="J21" s="73">
        <f>SUM(J5:J20)</f>
        <v>0</v>
      </c>
      <c r="K21" s="73">
        <f>SUM(K5:K20)</f>
        <v>691</v>
      </c>
      <c r="L21" s="73">
        <f>IF(E23="ano",0,SUM(L5:L20))</f>
        <v>0</v>
      </c>
      <c r="M21" s="73">
        <f>SUM(M5:M20)</f>
        <v>0</v>
      </c>
      <c r="N21" s="76">
        <f>SUM(I21:M21)</f>
        <v>691</v>
      </c>
      <c r="O21" s="18"/>
      <c r="P21" s="18"/>
      <c r="Q21" s="18"/>
      <c r="R21" s="17"/>
      <c r="S21" s="88"/>
      <c r="T21" s="57"/>
      <c r="U21" s="57"/>
      <c r="V21" s="57"/>
      <c r="W21" s="57"/>
      <c r="X21" s="57"/>
    </row>
    <row r="22" spans="1:32" x14ac:dyDescent="0.25">
      <c r="A22" s="1"/>
      <c r="B22" s="85" t="s">
        <v>67</v>
      </c>
      <c r="C22" s="24"/>
      <c r="D22" s="29"/>
      <c r="E22" s="66" t="s">
        <v>0</v>
      </c>
      <c r="G22" s="19"/>
      <c r="H22" s="20" t="s">
        <v>14</v>
      </c>
      <c r="I22" s="21"/>
      <c r="J22" s="22"/>
      <c r="K22" s="23"/>
      <c r="L22" s="23"/>
      <c r="M22" s="38"/>
      <c r="N22" s="115"/>
      <c r="O22" s="38"/>
      <c r="P22" s="38"/>
      <c r="Q22" s="38"/>
      <c r="R22" s="16"/>
      <c r="S22" s="78"/>
      <c r="T22" s="45"/>
      <c r="U22" s="45"/>
      <c r="V22" s="45"/>
      <c r="W22" s="45"/>
      <c r="X22" s="45"/>
    </row>
    <row r="23" spans="1:32" ht="16.5" customHeight="1" x14ac:dyDescent="0.25">
      <c r="A23" s="1"/>
      <c r="B23" s="85" t="s">
        <v>68</v>
      </c>
      <c r="C23" s="24"/>
      <c r="D23" s="29"/>
      <c r="E23" s="66" t="s">
        <v>0</v>
      </c>
      <c r="G23" s="19"/>
      <c r="H23" s="111" t="str">
        <f>IF((N21-N22)&lt;0,"Přeplatek (účtovatel vrátí)", "Doplatek (účtovateli bude doplaceno)")</f>
        <v>Doplatek (účtovateli bude doplaceno)</v>
      </c>
      <c r="I23" s="112"/>
      <c r="J23" s="112"/>
      <c r="K23" s="2"/>
      <c r="L23" s="2"/>
      <c r="M23" s="38"/>
      <c r="N23" s="76">
        <f>ABS(CEILING(N21-N22,1))</f>
        <v>691</v>
      </c>
      <c r="O23" s="70"/>
      <c r="P23" s="70"/>
      <c r="Q23" s="70"/>
      <c r="R23" s="28"/>
      <c r="S23" s="78"/>
      <c r="T23" s="45"/>
      <c r="U23" s="45"/>
      <c r="V23" s="45"/>
      <c r="W23" s="45"/>
      <c r="X23" s="45"/>
    </row>
    <row r="24" spans="1:32" ht="14.25" customHeight="1" x14ac:dyDescent="0.25">
      <c r="A24" s="1"/>
      <c r="B24" s="24"/>
      <c r="C24" s="24"/>
      <c r="D24" s="24"/>
      <c r="E24" s="24"/>
      <c r="F24" s="24"/>
      <c r="G24" s="24"/>
      <c r="H24" s="389"/>
      <c r="I24" s="389"/>
      <c r="J24" s="389"/>
      <c r="K24" s="389"/>
      <c r="L24" s="32"/>
      <c r="M24" s="25"/>
      <c r="N24" s="25"/>
      <c r="O24" s="25"/>
      <c r="P24" s="3">
        <f>IF(O28="",1,IF((O27+O28)&lt;=5/24,1,IF((O27+O28)&lt;=12/24,2,IF((O27+O28)&lt;=18/24,3,4))))</f>
        <v>4</v>
      </c>
      <c r="Q24" s="104">
        <f>VLOOKUP((IF((P28+P27)&gt;3,3,(P28+P27))),$AC$12:$AG$16,P24+1,FALSE)</f>
        <v>150</v>
      </c>
      <c r="R24" s="96"/>
      <c r="S24" s="91"/>
      <c r="T24" s="3"/>
      <c r="U24" s="3"/>
      <c r="V24" s="3"/>
      <c r="W24" s="3"/>
      <c r="X24" s="3"/>
    </row>
    <row r="25" spans="1:32" ht="10.5" customHeight="1" x14ac:dyDescent="0.25">
      <c r="A25" s="1"/>
      <c r="B25" s="7" t="s">
        <v>64</v>
      </c>
      <c r="C25" s="84" t="s">
        <v>85</v>
      </c>
      <c r="D25" s="26"/>
      <c r="E25" s="8" t="s">
        <v>88</v>
      </c>
      <c r="K25" s="397" t="s">
        <v>47</v>
      </c>
      <c r="L25" s="398"/>
      <c r="M25" s="398"/>
      <c r="N25" s="399"/>
      <c r="O25" s="101"/>
      <c r="P25" s="101" t="s">
        <v>42</v>
      </c>
      <c r="Q25" s="102" t="s">
        <v>61</v>
      </c>
      <c r="R25" s="105" t="s">
        <v>8</v>
      </c>
      <c r="S25" s="91"/>
      <c r="T25" s="3"/>
      <c r="U25" s="3"/>
      <c r="V25" s="3"/>
      <c r="W25" s="3"/>
      <c r="X25" s="3"/>
      <c r="Y25" s="354" t="s">
        <v>113</v>
      </c>
      <c r="Z25" s="354"/>
      <c r="AA25" s="354"/>
    </row>
    <row r="26" spans="1:32" ht="10.5" customHeight="1" x14ac:dyDescent="0.25">
      <c r="A26" s="1"/>
      <c r="B26" s="7" t="s">
        <v>16</v>
      </c>
      <c r="C26" s="84" t="s">
        <v>86</v>
      </c>
      <c r="D26" s="26"/>
      <c r="E26" s="8" t="s">
        <v>89</v>
      </c>
      <c r="K26" s="99" t="s">
        <v>2</v>
      </c>
      <c r="L26" s="105" t="s">
        <v>57</v>
      </c>
      <c r="M26" s="105" t="s">
        <v>58</v>
      </c>
      <c r="N26" s="105" t="s">
        <v>59</v>
      </c>
      <c r="O26" s="68" t="s">
        <v>60</v>
      </c>
      <c r="P26" s="67"/>
      <c r="Q26" s="67"/>
      <c r="R26" s="103">
        <f>SUM(R27:R43)</f>
        <v>691</v>
      </c>
      <c r="S26" s="92"/>
      <c r="T26" s="3"/>
      <c r="U26" s="3"/>
      <c r="V26" s="3"/>
      <c r="W26" s="3"/>
      <c r="X26" s="3"/>
      <c r="Y26" s="118" t="s">
        <v>91</v>
      </c>
      <c r="Z26" s="118" t="s">
        <v>92</v>
      </c>
      <c r="AA26" s="124" t="s">
        <v>90</v>
      </c>
    </row>
    <row r="27" spans="1:32" ht="10.5" customHeight="1" x14ac:dyDescent="0.25">
      <c r="A27" s="1"/>
      <c r="B27" s="7" t="s">
        <v>15</v>
      </c>
      <c r="C27" s="84" t="s">
        <v>87</v>
      </c>
      <c r="D27" s="26"/>
      <c r="E27" s="8" t="s">
        <v>134</v>
      </c>
      <c r="K27" s="100">
        <f>IF(AD8&lt;&gt;0,AD8,"")</f>
        <v>43832</v>
      </c>
      <c r="L27" s="71" t="s">
        <v>0</v>
      </c>
      <c r="M27" s="71"/>
      <c r="N27" s="71"/>
      <c r="O27" s="69">
        <f>IF(K27&lt;&gt;"",IF(K28&lt;&gt;0,K27+1-AE8,AE9-AE8),"")</f>
        <v>0.58333333333575865</v>
      </c>
      <c r="P27" s="67">
        <f t="shared" ref="P27:P43" si="5">IF($E$22="ne",0,IF(LEFT(L27,1)="A",1,0)+IF(LEFT(M27,1)="A",1,0)+IF(LEFT(N27,1)="A",1,0))</f>
        <v>1</v>
      </c>
      <c r="Q27" s="67">
        <f>IF(OR(O27&lt;=5/24+1/24/60/60/100,O27=""),1,IF(O27&lt;=12/24,2,IF(O27&lt;=18/24,3,4)))</f>
        <v>3</v>
      </c>
      <c r="R27" s="104">
        <f>IF(AND(K29="",(Q7+Q5)&lt;Q24),0,Q5)</f>
        <v>91</v>
      </c>
      <c r="S27" s="93"/>
      <c r="T27" s="3"/>
      <c r="U27" s="3"/>
      <c r="V27" s="3"/>
      <c r="W27" s="3"/>
      <c r="Y27" s="118" t="s">
        <v>93</v>
      </c>
      <c r="Z27" s="118" t="s">
        <v>94</v>
      </c>
      <c r="AA27" s="117"/>
    </row>
    <row r="28" spans="1:32" ht="10.5" customHeight="1" x14ac:dyDescent="0.25">
      <c r="A28" s="1"/>
      <c r="K28" s="100">
        <f>IF(($AD$8+List1!A2)&lt;=$AD$9,$AD$8+List1!A2,"")</f>
        <v>43833</v>
      </c>
      <c r="L28" s="71"/>
      <c r="M28" s="71"/>
      <c r="N28" s="71"/>
      <c r="O28" s="69">
        <f t="shared" ref="O28:O43" si="6">IF(K28&lt;&gt;"",IF(K29&lt;&gt;"",1,$AE$9-K28),"")</f>
        <v>1</v>
      </c>
      <c r="P28" s="67">
        <f t="shared" si="5"/>
        <v>0</v>
      </c>
      <c r="Q28" s="67">
        <f t="shared" ref="Q28:Q43" si="7">IF(OR(O28&lt;=5/24+1/24/60/60/100,O28=""),1,IF(O28&lt;=12/24,2,IF(O28&lt;=18/24,3,4)))</f>
        <v>4</v>
      </c>
      <c r="R28" s="104">
        <f>IF(AND(K29="",(Q7+Q5)&lt;Q24),Q24,Q7)</f>
        <v>200</v>
      </c>
      <c r="S28" s="93"/>
      <c r="T28" s="3"/>
      <c r="U28" s="3"/>
      <c r="V28" s="3"/>
      <c r="W28" s="3"/>
      <c r="Y28" s="118" t="s">
        <v>95</v>
      </c>
      <c r="Z28" s="118" t="s">
        <v>94</v>
      </c>
      <c r="AA28" s="117"/>
    </row>
    <row r="29" spans="1:32" ht="10.5" customHeight="1" x14ac:dyDescent="0.25">
      <c r="A29" s="1"/>
      <c r="C29" s="77"/>
      <c r="D29" s="77"/>
      <c r="E29" s="77"/>
      <c r="F29" s="77"/>
      <c r="K29" s="100">
        <f>IF(($AD$8+List1!A3)&lt;=$AD$9,$AD$8+List1!A3,"")</f>
        <v>43834</v>
      </c>
      <c r="L29" s="71"/>
      <c r="M29" s="71"/>
      <c r="N29" s="71"/>
      <c r="O29" s="69">
        <f t="shared" si="6"/>
        <v>1</v>
      </c>
      <c r="P29" s="67">
        <f t="shared" si="5"/>
        <v>0</v>
      </c>
      <c r="Q29" s="67">
        <f t="shared" si="7"/>
        <v>4</v>
      </c>
      <c r="R29" s="104">
        <f t="shared" ref="R29:R43" si="8">VLOOKUP(P29,$AC$12:$AG$16,Q29+1,FALSE)</f>
        <v>200</v>
      </c>
      <c r="S29" s="93"/>
      <c r="T29" s="3"/>
      <c r="U29" s="3"/>
      <c r="V29" s="3"/>
      <c r="W29" s="3"/>
      <c r="X29" s="3"/>
      <c r="Y29" s="118" t="s">
        <v>96</v>
      </c>
      <c r="Z29" s="118" t="s">
        <v>94</v>
      </c>
      <c r="AA29" s="117"/>
    </row>
    <row r="30" spans="1:32" ht="10.5" customHeight="1" x14ac:dyDescent="0.25">
      <c r="A30" s="1"/>
      <c r="B30" s="24" t="s">
        <v>69</v>
      </c>
      <c r="F30" s="395" t="s">
        <v>19</v>
      </c>
      <c r="G30" s="395"/>
      <c r="H30" s="395"/>
      <c r="I30" s="395"/>
      <c r="K30" s="100">
        <f>IF(($AD$8+List1!A4)&lt;=$AD$9,$AD$8+List1!A4,"")</f>
        <v>43835</v>
      </c>
      <c r="L30" s="71"/>
      <c r="M30" s="71"/>
      <c r="N30" s="71"/>
      <c r="O30" s="69">
        <f t="shared" si="6"/>
        <v>0.83333333333575865</v>
      </c>
      <c r="P30" s="67">
        <f t="shared" si="5"/>
        <v>0</v>
      </c>
      <c r="Q30" s="67">
        <f t="shared" si="7"/>
        <v>4</v>
      </c>
      <c r="R30" s="104">
        <f t="shared" si="8"/>
        <v>200</v>
      </c>
      <c r="S30" s="93"/>
      <c r="T30" s="3"/>
      <c r="U30" s="3"/>
      <c r="V30" s="3"/>
      <c r="W30" s="3"/>
      <c r="X30" s="3"/>
      <c r="Y30" s="118" t="s">
        <v>97</v>
      </c>
      <c r="Z30" s="118" t="s">
        <v>94</v>
      </c>
      <c r="AA30" s="117"/>
    </row>
    <row r="31" spans="1:32" ht="10.5" customHeight="1" x14ac:dyDescent="0.25">
      <c r="A31" s="1"/>
      <c r="B31" s="394"/>
      <c r="C31" s="394"/>
      <c r="D31" s="394"/>
      <c r="E31" s="394"/>
      <c r="F31" s="395"/>
      <c r="G31" s="395"/>
      <c r="H31" s="395"/>
      <c r="I31" s="395"/>
      <c r="K31" s="100" t="str">
        <f>IF(($AD$8+List1!A5)&lt;=$AD$9,$AD$8+List1!A5,"")</f>
        <v/>
      </c>
      <c r="L31" s="71"/>
      <c r="M31" s="71"/>
      <c r="N31" s="71"/>
      <c r="O31" s="69" t="str">
        <f t="shared" si="6"/>
        <v/>
      </c>
      <c r="P31" s="67">
        <f t="shared" si="5"/>
        <v>0</v>
      </c>
      <c r="Q31" s="67">
        <f t="shared" si="7"/>
        <v>1</v>
      </c>
      <c r="R31" s="104">
        <f t="shared" si="8"/>
        <v>0</v>
      </c>
      <c r="S31" s="93"/>
      <c r="T31" s="3"/>
      <c r="U31" s="3"/>
      <c r="V31" s="3"/>
      <c r="W31" s="3"/>
      <c r="X31" s="3"/>
      <c r="Y31" s="118" t="s">
        <v>98</v>
      </c>
      <c r="Z31" s="118" t="s">
        <v>94</v>
      </c>
      <c r="AA31" s="117"/>
    </row>
    <row r="32" spans="1:32" ht="10.5" customHeight="1" x14ac:dyDescent="0.25">
      <c r="A32" s="1"/>
      <c r="B32" s="394"/>
      <c r="C32" s="394"/>
      <c r="D32" s="394"/>
      <c r="E32" s="394"/>
      <c r="H32" s="396"/>
      <c r="I32" s="390"/>
      <c r="K32" s="100" t="str">
        <f>IF(($AD$8+List1!A6)&lt;=$AD$9,$AD$8+List1!A6,"")</f>
        <v/>
      </c>
      <c r="L32" s="71"/>
      <c r="M32" s="71"/>
      <c r="N32" s="71"/>
      <c r="O32" s="69" t="str">
        <f t="shared" si="6"/>
        <v/>
      </c>
      <c r="P32" s="67">
        <f t="shared" si="5"/>
        <v>0</v>
      </c>
      <c r="Q32" s="67">
        <f t="shared" si="7"/>
        <v>1</v>
      </c>
      <c r="R32" s="104">
        <f t="shared" si="8"/>
        <v>0</v>
      </c>
      <c r="S32" s="93"/>
      <c r="T32" s="3"/>
      <c r="U32" s="3"/>
      <c r="V32" s="3"/>
      <c r="W32" s="3"/>
      <c r="X32" s="3"/>
      <c r="Y32" s="118" t="s">
        <v>99</v>
      </c>
      <c r="Z32" s="118" t="s">
        <v>94</v>
      </c>
      <c r="AA32" s="117"/>
    </row>
    <row r="33" spans="1:34" ht="10.5" customHeight="1" x14ac:dyDescent="0.25">
      <c r="A33" s="1"/>
      <c r="K33" s="100" t="str">
        <f>IF(($AD$8+List1!A7)&lt;=$AD$9,$AD$8+List1!A7,"")</f>
        <v/>
      </c>
      <c r="L33" s="71"/>
      <c r="M33" s="71"/>
      <c r="N33" s="71"/>
      <c r="O33" s="69" t="str">
        <f t="shared" si="6"/>
        <v/>
      </c>
      <c r="P33" s="67">
        <f t="shared" si="5"/>
        <v>0</v>
      </c>
      <c r="Q33" s="67">
        <f t="shared" si="7"/>
        <v>1</v>
      </c>
      <c r="R33" s="104">
        <f t="shared" si="8"/>
        <v>0</v>
      </c>
      <c r="S33" s="93"/>
      <c r="T33" s="3"/>
      <c r="U33" s="3"/>
      <c r="V33" s="3"/>
      <c r="W33" s="3"/>
      <c r="X33" s="3"/>
      <c r="Y33" s="118" t="s">
        <v>100</v>
      </c>
      <c r="Z33" s="118" t="s">
        <v>94</v>
      </c>
      <c r="AA33" s="117"/>
    </row>
    <row r="34" spans="1:34" ht="10.5" customHeight="1" x14ac:dyDescent="0.25">
      <c r="A34" s="1"/>
      <c r="B34" s="24" t="s">
        <v>17</v>
      </c>
      <c r="C34" s="24"/>
      <c r="D34" s="24"/>
      <c r="E34" s="24"/>
      <c r="F34" s="24"/>
      <c r="G34" s="24"/>
      <c r="K34" s="100" t="str">
        <f>IF(($AD$8+List1!A8)&lt;=$AD$9,$AD$8+List1!A8,"")</f>
        <v/>
      </c>
      <c r="L34" s="71"/>
      <c r="M34" s="71"/>
      <c r="N34" s="71"/>
      <c r="O34" s="69" t="str">
        <f t="shared" si="6"/>
        <v/>
      </c>
      <c r="P34" s="67">
        <f t="shared" si="5"/>
        <v>0</v>
      </c>
      <c r="Q34" s="67">
        <f t="shared" si="7"/>
        <v>1</v>
      </c>
      <c r="R34" s="104">
        <f t="shared" si="8"/>
        <v>0</v>
      </c>
      <c r="S34" s="93"/>
      <c r="T34" s="3"/>
      <c r="U34" s="3"/>
      <c r="V34" s="3"/>
      <c r="W34" s="3"/>
      <c r="X34" s="3"/>
      <c r="Y34" s="118" t="s">
        <v>101</v>
      </c>
      <c r="Z34" s="118" t="s">
        <v>94</v>
      </c>
      <c r="AA34" s="117"/>
    </row>
    <row r="35" spans="1:34" ht="10.5" customHeight="1" x14ac:dyDescent="0.25">
      <c r="A35" s="1"/>
      <c r="B35" s="390"/>
      <c r="C35" s="390"/>
      <c r="D35" s="390"/>
      <c r="E35" s="390"/>
      <c r="K35" s="100" t="str">
        <f>IF(($AD$8+List1!A9)&lt;=$AD$9,$AD$8+List1!A9,"")</f>
        <v/>
      </c>
      <c r="L35" s="71"/>
      <c r="M35" s="71"/>
      <c r="N35" s="71"/>
      <c r="O35" s="69" t="str">
        <f t="shared" si="6"/>
        <v/>
      </c>
      <c r="P35" s="67">
        <f t="shared" si="5"/>
        <v>0</v>
      </c>
      <c r="Q35" s="67">
        <f t="shared" si="7"/>
        <v>1</v>
      </c>
      <c r="R35" s="104">
        <f t="shared" si="8"/>
        <v>0</v>
      </c>
      <c r="S35" s="93"/>
      <c r="T35" s="3"/>
      <c r="U35" s="3"/>
      <c r="V35" s="3"/>
      <c r="W35" s="3"/>
      <c r="X35" s="3"/>
      <c r="Y35" s="118" t="s">
        <v>102</v>
      </c>
      <c r="Z35" s="118" t="s">
        <v>94</v>
      </c>
      <c r="AA35" s="117"/>
    </row>
    <row r="36" spans="1:34" ht="10.5" customHeight="1" x14ac:dyDescent="0.25">
      <c r="A36" s="1"/>
      <c r="K36" s="100" t="str">
        <f>IF(($AD$8+List1!A10)&lt;=$AD$9,$AD$8+List1!A10,"")</f>
        <v/>
      </c>
      <c r="L36" s="71"/>
      <c r="M36" s="71"/>
      <c r="N36" s="71"/>
      <c r="O36" s="69" t="str">
        <f t="shared" si="6"/>
        <v/>
      </c>
      <c r="P36" s="67">
        <f t="shared" si="5"/>
        <v>0</v>
      </c>
      <c r="Q36" s="67">
        <f t="shared" si="7"/>
        <v>1</v>
      </c>
      <c r="R36" s="104">
        <f t="shared" si="8"/>
        <v>0</v>
      </c>
      <c r="S36" s="93"/>
      <c r="T36" s="3"/>
      <c r="U36" s="3"/>
      <c r="V36" s="3"/>
      <c r="W36" s="3"/>
      <c r="X36" s="3"/>
      <c r="Y36" s="118" t="s">
        <v>103</v>
      </c>
      <c r="Z36" s="118" t="s">
        <v>94</v>
      </c>
      <c r="AA36" s="117"/>
    </row>
    <row r="37" spans="1:34" ht="10.5" customHeight="1" x14ac:dyDescent="0.25">
      <c r="A37" s="1"/>
      <c r="B37" s="24" t="s">
        <v>70</v>
      </c>
      <c r="C37" s="24"/>
      <c r="D37" s="24"/>
      <c r="E37" s="24"/>
      <c r="K37" s="100" t="str">
        <f>IF(($AD$8+List1!A11)&lt;=$AD$9,$AD$8+List1!A11,"")</f>
        <v/>
      </c>
      <c r="L37" s="71"/>
      <c r="M37" s="71"/>
      <c r="N37" s="71"/>
      <c r="O37" s="69" t="str">
        <f t="shared" si="6"/>
        <v/>
      </c>
      <c r="P37" s="67">
        <f t="shared" si="5"/>
        <v>0</v>
      </c>
      <c r="Q37" s="67">
        <f t="shared" si="7"/>
        <v>1</v>
      </c>
      <c r="R37" s="104">
        <f t="shared" si="8"/>
        <v>0</v>
      </c>
      <c r="S37" s="93"/>
      <c r="T37" s="3"/>
      <c r="U37" s="3"/>
      <c r="V37" s="3"/>
      <c r="W37" s="3"/>
      <c r="X37" s="3"/>
      <c r="Y37" s="118" t="s">
        <v>104</v>
      </c>
      <c r="Z37" s="118" t="s">
        <v>94</v>
      </c>
      <c r="AA37" s="117"/>
    </row>
    <row r="38" spans="1:34" ht="10.5" customHeight="1" x14ac:dyDescent="0.25">
      <c r="A38" s="1"/>
      <c r="K38" s="100" t="str">
        <f>IF(($AD$8+List1!A12)&lt;=$AD$9,$AD$8+List1!A12,"")</f>
        <v/>
      </c>
      <c r="L38" s="71"/>
      <c r="M38" s="71"/>
      <c r="N38" s="71"/>
      <c r="O38" s="69" t="str">
        <f t="shared" si="6"/>
        <v/>
      </c>
      <c r="P38" s="67">
        <f t="shared" si="5"/>
        <v>0</v>
      </c>
      <c r="Q38" s="67">
        <f t="shared" si="7"/>
        <v>1</v>
      </c>
      <c r="R38" s="104">
        <f t="shared" si="8"/>
        <v>0</v>
      </c>
      <c r="S38" s="93"/>
      <c r="T38" s="3"/>
      <c r="U38" s="3"/>
      <c r="V38" s="3"/>
      <c r="W38" s="3"/>
      <c r="X38" s="3"/>
      <c r="Y38" s="118" t="s">
        <v>105</v>
      </c>
      <c r="Z38" s="118" t="s">
        <v>94</v>
      </c>
      <c r="AA38" s="117"/>
    </row>
    <row r="39" spans="1:34" ht="10.5" customHeight="1" x14ac:dyDescent="0.25">
      <c r="A39" s="1"/>
      <c r="K39" s="100" t="str">
        <f>IF(($AD$8+List1!A13)&lt;=$AD$9,$AD$8+List1!A13,"")</f>
        <v/>
      </c>
      <c r="L39" s="71"/>
      <c r="M39" s="71"/>
      <c r="N39" s="71"/>
      <c r="O39" s="69" t="str">
        <f t="shared" si="6"/>
        <v/>
      </c>
      <c r="P39" s="67">
        <f t="shared" si="5"/>
        <v>0</v>
      </c>
      <c r="Q39" s="67">
        <f t="shared" si="7"/>
        <v>1</v>
      </c>
      <c r="R39" s="104">
        <f t="shared" si="8"/>
        <v>0</v>
      </c>
      <c r="S39" s="93"/>
      <c r="T39" s="3"/>
      <c r="U39" s="3"/>
      <c r="V39" s="3"/>
      <c r="W39" s="3"/>
      <c r="X39" s="3"/>
      <c r="Y39" s="118" t="s">
        <v>106</v>
      </c>
      <c r="Z39" s="118" t="s">
        <v>94</v>
      </c>
      <c r="AA39" s="117"/>
    </row>
    <row r="40" spans="1:34" ht="10.5" customHeight="1" x14ac:dyDescent="0.25">
      <c r="A40" s="1"/>
      <c r="K40" s="100" t="str">
        <f>IF(($AD$8+List1!A14)&lt;=$AD$9,$AD$8+List1!A14,"")</f>
        <v/>
      </c>
      <c r="L40" s="71"/>
      <c r="M40" s="71"/>
      <c r="N40" s="71"/>
      <c r="O40" s="69" t="str">
        <f t="shared" si="6"/>
        <v/>
      </c>
      <c r="P40" s="67">
        <f t="shared" si="5"/>
        <v>0</v>
      </c>
      <c r="Q40" s="67">
        <f t="shared" si="7"/>
        <v>1</v>
      </c>
      <c r="R40" s="104">
        <f t="shared" si="8"/>
        <v>0</v>
      </c>
      <c r="S40" s="93"/>
      <c r="T40" s="3"/>
      <c r="U40" s="3"/>
      <c r="V40" s="3"/>
      <c r="W40" s="3"/>
      <c r="X40" s="3"/>
      <c r="Y40" s="118" t="s">
        <v>107</v>
      </c>
      <c r="Z40" s="118" t="s">
        <v>94</v>
      </c>
      <c r="AA40" s="117"/>
    </row>
    <row r="41" spans="1:34" ht="10.5" customHeight="1" x14ac:dyDescent="0.25">
      <c r="A41" s="1"/>
      <c r="K41" s="100" t="str">
        <f>IF(($AD$8+List1!A15)&lt;=$AD$9,$AD$8+List1!A15,"")</f>
        <v/>
      </c>
      <c r="L41" s="71"/>
      <c r="M41" s="71"/>
      <c r="N41" s="71"/>
      <c r="O41" s="69" t="str">
        <f t="shared" si="6"/>
        <v/>
      </c>
      <c r="P41" s="67">
        <f t="shared" si="5"/>
        <v>0</v>
      </c>
      <c r="Q41" s="67">
        <f t="shared" si="7"/>
        <v>1</v>
      </c>
      <c r="R41" s="104">
        <f t="shared" si="8"/>
        <v>0</v>
      </c>
      <c r="S41" s="93"/>
      <c r="T41" s="3"/>
      <c r="U41" s="3"/>
      <c r="V41" s="3"/>
      <c r="W41" s="3"/>
      <c r="X41" s="3"/>
      <c r="Y41" s="118" t="s">
        <v>108</v>
      </c>
      <c r="Z41" s="118" t="s">
        <v>94</v>
      </c>
      <c r="AA41" s="117"/>
    </row>
    <row r="42" spans="1:34" ht="10.5" customHeight="1" x14ac:dyDescent="0.25">
      <c r="A42" s="1"/>
      <c r="B42" s="391" t="s">
        <v>18</v>
      </c>
      <c r="C42" s="391"/>
      <c r="D42" s="391"/>
      <c r="E42" s="391"/>
      <c r="F42" s="24"/>
      <c r="G42" s="24"/>
      <c r="H42" s="24"/>
      <c r="I42" s="24"/>
      <c r="J42" s="78"/>
      <c r="K42" s="100" t="str">
        <f>IF(($AD$8+List1!A16)&lt;=$AD$9,$AD$8+List1!A16,"")</f>
        <v/>
      </c>
      <c r="L42" s="71"/>
      <c r="M42" s="71"/>
      <c r="N42" s="71"/>
      <c r="O42" s="69" t="str">
        <f t="shared" si="6"/>
        <v/>
      </c>
      <c r="P42" s="67">
        <f t="shared" si="5"/>
        <v>0</v>
      </c>
      <c r="Q42" s="67">
        <f t="shared" si="7"/>
        <v>1</v>
      </c>
      <c r="R42" s="104">
        <f t="shared" si="8"/>
        <v>0</v>
      </c>
      <c r="S42" s="93"/>
      <c r="T42" s="3"/>
      <c r="U42" s="3"/>
      <c r="V42" s="3"/>
      <c r="W42" s="3"/>
      <c r="X42" s="3"/>
      <c r="Y42" s="118" t="s">
        <v>109</v>
      </c>
      <c r="Z42" s="118" t="s">
        <v>94</v>
      </c>
      <c r="AA42" s="117"/>
    </row>
    <row r="43" spans="1:34" ht="10.5" customHeight="1" x14ac:dyDescent="0.25">
      <c r="A43" s="1"/>
      <c r="B43" s="24"/>
      <c r="C43" s="24"/>
      <c r="D43" s="24"/>
      <c r="E43" s="24"/>
      <c r="F43" s="24"/>
      <c r="G43" s="24"/>
      <c r="H43" s="24"/>
      <c r="I43" s="24"/>
      <c r="J43" s="78"/>
      <c r="K43" s="100" t="str">
        <f>IF(($AD$8+List1!A17)&lt;=$AD$9,$AD$8+List1!A17,"")</f>
        <v/>
      </c>
      <c r="L43" s="71"/>
      <c r="M43" s="71"/>
      <c r="N43" s="71"/>
      <c r="O43" s="69" t="str">
        <f t="shared" si="6"/>
        <v/>
      </c>
      <c r="P43" s="67">
        <f t="shared" si="5"/>
        <v>0</v>
      </c>
      <c r="Q43" s="67">
        <f t="shared" si="7"/>
        <v>1</v>
      </c>
      <c r="R43" s="104">
        <f t="shared" si="8"/>
        <v>0</v>
      </c>
      <c r="S43" s="93"/>
      <c r="T43" s="3"/>
      <c r="U43" s="3"/>
      <c r="V43" s="3"/>
      <c r="W43" s="3"/>
      <c r="X43" s="3"/>
      <c r="Y43" s="118" t="s">
        <v>110</v>
      </c>
      <c r="Z43" s="118" t="s">
        <v>92</v>
      </c>
      <c r="AA43" s="117"/>
    </row>
    <row r="44" spans="1:34" ht="3.75" customHeight="1" x14ac:dyDescent="0.25">
      <c r="A44" s="4"/>
      <c r="B44" s="34"/>
      <c r="C44" s="34"/>
      <c r="D44" s="34"/>
      <c r="E44" s="34"/>
      <c r="F44" s="2"/>
      <c r="G44" s="2"/>
      <c r="H44" s="2"/>
      <c r="I44" s="2"/>
      <c r="J44" s="2"/>
      <c r="K44" s="33"/>
      <c r="L44" s="34"/>
      <c r="M44" s="34"/>
      <c r="N44" s="34"/>
      <c r="O44" s="34"/>
      <c r="P44" s="34"/>
      <c r="Q44" s="34"/>
      <c r="R44" s="33"/>
      <c r="S44" s="94"/>
      <c r="T44" s="58"/>
      <c r="U44" s="58"/>
      <c r="V44" s="58"/>
      <c r="W44" s="58"/>
      <c r="X44" s="58"/>
      <c r="Y44" s="25"/>
      <c r="Z44" s="25"/>
      <c r="AA44" s="25"/>
    </row>
    <row r="45" spans="1:34" ht="8.25" customHeight="1" x14ac:dyDescent="0.25">
      <c r="B45" s="385"/>
      <c r="C45" s="385"/>
      <c r="D45" s="385"/>
      <c r="E45" s="385"/>
      <c r="F45" s="385"/>
      <c r="G45" s="385"/>
      <c r="H45" s="385"/>
      <c r="I45" s="385"/>
      <c r="J45" s="5"/>
      <c r="K45" s="46"/>
      <c r="L45" s="7"/>
      <c r="M45" s="8"/>
      <c r="N45" s="8"/>
      <c r="O45" s="8"/>
      <c r="P45" s="8"/>
      <c r="Q45" s="8"/>
      <c r="R45" s="82"/>
      <c r="S45" s="8"/>
      <c r="Y45"/>
      <c r="Z45"/>
      <c r="AA45"/>
      <c r="AB45"/>
      <c r="AC45"/>
      <c r="AD45"/>
      <c r="AE45"/>
      <c r="AF45"/>
      <c r="AG45"/>
      <c r="AH45"/>
    </row>
    <row r="46" spans="1:34" ht="12" customHeight="1" x14ac:dyDescent="0.25">
      <c r="A46" s="86"/>
      <c r="B46" s="80"/>
      <c r="C46" s="80"/>
      <c r="D46" s="80"/>
      <c r="E46" s="80"/>
      <c r="F46" s="80"/>
      <c r="G46" s="80"/>
      <c r="H46" s="80"/>
      <c r="I46" s="80"/>
      <c r="J46" s="79"/>
      <c r="K46" s="80"/>
      <c r="L46" s="81"/>
      <c r="M46" s="82"/>
      <c r="N46" s="82"/>
      <c r="O46" s="82"/>
      <c r="P46" s="82"/>
      <c r="Q46" s="82"/>
      <c r="R46" s="82"/>
      <c r="S46" s="83"/>
      <c r="Y46"/>
      <c r="Z46"/>
      <c r="AA46"/>
      <c r="AB46"/>
      <c r="AC46"/>
      <c r="AD46"/>
      <c r="AE46"/>
      <c r="AF46"/>
      <c r="AG46"/>
      <c r="AH46"/>
    </row>
    <row r="47" spans="1:34" ht="12" customHeight="1" x14ac:dyDescent="0.25">
      <c r="A47" s="1"/>
      <c r="B47" s="387" t="s">
        <v>75</v>
      </c>
      <c r="C47" s="387"/>
      <c r="D47" s="387"/>
      <c r="E47" s="387"/>
      <c r="F47" s="387"/>
      <c r="G47" s="387"/>
      <c r="H47" s="387"/>
      <c r="I47" s="387"/>
      <c r="S47" s="47"/>
      <c r="Y47"/>
      <c r="Z47"/>
      <c r="AA47"/>
      <c r="AB47"/>
      <c r="AC47"/>
      <c r="AD47"/>
      <c r="AE47"/>
      <c r="AF47"/>
      <c r="AG47"/>
      <c r="AH47"/>
    </row>
    <row r="48" spans="1:34" ht="12" customHeight="1" x14ac:dyDescent="0.25">
      <c r="A48" s="1"/>
      <c r="B48" s="387"/>
      <c r="C48" s="387"/>
      <c r="D48" s="387"/>
      <c r="E48" s="387"/>
      <c r="F48" s="387"/>
      <c r="G48" s="387"/>
      <c r="H48" s="387"/>
      <c r="I48" s="387"/>
      <c r="S48" s="48"/>
      <c r="Y48"/>
      <c r="Z48"/>
      <c r="AA48"/>
      <c r="AB48"/>
      <c r="AC48"/>
      <c r="AD48"/>
      <c r="AE48"/>
      <c r="AF48"/>
      <c r="AG48"/>
      <c r="AH48"/>
    </row>
    <row r="49" spans="1:34" ht="12" customHeight="1" x14ac:dyDescent="0.25">
      <c r="A49" s="1"/>
      <c r="J49" s="386"/>
      <c r="K49" s="386"/>
      <c r="L49" s="386"/>
      <c r="M49" s="386"/>
      <c r="N49" s="386"/>
      <c r="O49" s="386"/>
      <c r="P49" s="386"/>
      <c r="Q49" s="386"/>
      <c r="R49" s="386"/>
      <c r="S49" s="27"/>
      <c r="Y49"/>
      <c r="Z49"/>
      <c r="AA49"/>
      <c r="AB49"/>
      <c r="AC49"/>
      <c r="AD49"/>
      <c r="AE49"/>
      <c r="AF49"/>
      <c r="AG49"/>
      <c r="AH49"/>
    </row>
    <row r="50" spans="1:34" ht="12" customHeight="1" x14ac:dyDescent="0.25">
      <c r="A50" s="1"/>
      <c r="J50" s="388" t="s">
        <v>71</v>
      </c>
      <c r="K50" s="388"/>
      <c r="L50" s="388"/>
      <c r="M50" s="388"/>
      <c r="N50" s="388"/>
      <c r="O50" s="388"/>
      <c r="P50" s="388"/>
      <c r="Q50" s="388"/>
      <c r="R50" s="388"/>
      <c r="S50" s="27"/>
      <c r="Y50"/>
      <c r="Z50"/>
      <c r="AA50"/>
      <c r="AB50"/>
      <c r="AC50"/>
      <c r="AD50"/>
      <c r="AE50"/>
      <c r="AF50"/>
      <c r="AG50"/>
      <c r="AH50"/>
    </row>
    <row r="51" spans="1:34" ht="12" customHeight="1" x14ac:dyDescent="0.25">
      <c r="A51" s="1"/>
      <c r="S51" s="27"/>
      <c r="Y51"/>
      <c r="Z51"/>
      <c r="AA51"/>
      <c r="AB51"/>
      <c r="AC51"/>
      <c r="AD51"/>
      <c r="AE51"/>
      <c r="AF51"/>
      <c r="AG51"/>
      <c r="AH51"/>
    </row>
    <row r="52" spans="1:34" ht="12" customHeight="1" x14ac:dyDescent="0.25">
      <c r="A52" s="1"/>
      <c r="B52" s="392" t="s">
        <v>72</v>
      </c>
      <c r="C52" s="392"/>
      <c r="D52" s="392"/>
      <c r="E52" s="392"/>
      <c r="F52" s="392"/>
      <c r="S52" s="27"/>
      <c r="Y52"/>
      <c r="Z52"/>
      <c r="AA52"/>
      <c r="AB52"/>
      <c r="AC52"/>
      <c r="AD52"/>
      <c r="AE52"/>
      <c r="AF52"/>
      <c r="AG52"/>
      <c r="AH52"/>
    </row>
    <row r="53" spans="1:34" ht="12" customHeight="1" x14ac:dyDescent="0.25">
      <c r="A53" s="1"/>
      <c r="S53" s="27"/>
      <c r="Y53"/>
      <c r="Z53"/>
      <c r="AA53"/>
      <c r="AB53"/>
      <c r="AC53"/>
      <c r="AD53"/>
      <c r="AE53"/>
      <c r="AF53"/>
      <c r="AG53"/>
      <c r="AH53"/>
    </row>
    <row r="54" spans="1:34" ht="12" customHeight="1" x14ac:dyDescent="0.25">
      <c r="A54" s="1"/>
      <c r="S54" s="27"/>
      <c r="Y54"/>
      <c r="Z54"/>
      <c r="AA54"/>
      <c r="AB54"/>
      <c r="AC54"/>
      <c r="AD54"/>
      <c r="AE54"/>
      <c r="AF54"/>
      <c r="AG54"/>
      <c r="AH54"/>
    </row>
    <row r="55" spans="1:34" ht="12" customHeight="1" x14ac:dyDescent="0.25">
      <c r="A55" s="1"/>
      <c r="S55" s="27"/>
      <c r="Y55"/>
      <c r="Z55"/>
      <c r="AA55"/>
      <c r="AB55"/>
      <c r="AC55"/>
      <c r="AD55"/>
      <c r="AE55"/>
      <c r="AF55"/>
      <c r="AG55"/>
      <c r="AH55"/>
    </row>
    <row r="56" spans="1:34" ht="12" customHeight="1" x14ac:dyDescent="0.25">
      <c r="A56" s="1"/>
      <c r="B56" s="393" t="s">
        <v>73</v>
      </c>
      <c r="C56" s="393"/>
      <c r="D56" s="393"/>
      <c r="E56" s="393"/>
      <c r="F56" s="393"/>
      <c r="J56" s="383" t="s">
        <v>74</v>
      </c>
      <c r="K56" s="383"/>
      <c r="L56" s="383"/>
      <c r="M56" s="383"/>
      <c r="N56" s="383"/>
      <c r="O56" s="383"/>
      <c r="P56" s="383"/>
      <c r="Q56" s="383"/>
      <c r="R56" s="383"/>
      <c r="S56" s="98"/>
      <c r="Y56"/>
      <c r="Z56"/>
      <c r="AA56"/>
      <c r="AB56"/>
      <c r="AC56"/>
      <c r="AD56"/>
      <c r="AE56"/>
      <c r="AF56"/>
      <c r="AG56"/>
      <c r="AH56"/>
    </row>
    <row r="57" spans="1:34" ht="12" customHeight="1" x14ac:dyDescent="0.25">
      <c r="A57" s="1"/>
      <c r="J57" s="384"/>
      <c r="K57" s="384"/>
      <c r="L57" s="384"/>
      <c r="M57" s="384"/>
      <c r="N57" s="384"/>
      <c r="O57" s="384"/>
      <c r="P57" s="384"/>
      <c r="Q57" s="384"/>
      <c r="R57" s="384"/>
      <c r="S57" s="98"/>
      <c r="T57" s="59"/>
      <c r="U57" s="59"/>
      <c r="V57" s="59"/>
      <c r="W57" s="59"/>
      <c r="Y57"/>
      <c r="Z57"/>
      <c r="AA57"/>
      <c r="AB57"/>
      <c r="AC57"/>
      <c r="AD57"/>
      <c r="AE57"/>
      <c r="AF57"/>
      <c r="AG57"/>
      <c r="AH57"/>
    </row>
    <row r="58" spans="1:34" ht="6" customHeight="1" x14ac:dyDescent="0.2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24"/>
      <c r="U58" s="24"/>
      <c r="V58" s="24"/>
      <c r="W58" s="24"/>
      <c r="Y58"/>
      <c r="Z58"/>
      <c r="AA58"/>
      <c r="AB58"/>
      <c r="AC58"/>
      <c r="AD58"/>
      <c r="AE58"/>
      <c r="AF58"/>
      <c r="AG58"/>
      <c r="AH58"/>
    </row>
    <row r="59" spans="1:34" x14ac:dyDescent="0.25">
      <c r="Y59"/>
      <c r="Z59"/>
      <c r="AA59"/>
      <c r="AB59"/>
      <c r="AC59"/>
      <c r="AD59"/>
      <c r="AE59"/>
      <c r="AF59"/>
      <c r="AG59"/>
      <c r="AH59"/>
    </row>
    <row r="60" spans="1:34" x14ac:dyDescent="0.25">
      <c r="Y60"/>
      <c r="Z60"/>
      <c r="AA60"/>
      <c r="AB60"/>
      <c r="AC60"/>
      <c r="AD60"/>
      <c r="AE60"/>
      <c r="AF60"/>
      <c r="AG60"/>
      <c r="AH60"/>
    </row>
  </sheetData>
  <sheetProtection selectLockedCells="1"/>
  <mergeCells count="133">
    <mergeCell ref="U19:U20"/>
    <mergeCell ref="N17:N18"/>
    <mergeCell ref="R17:R18"/>
    <mergeCell ref="D18:E18"/>
    <mergeCell ref="B19:B20"/>
    <mergeCell ref="D19:E19"/>
    <mergeCell ref="G19:G20"/>
    <mergeCell ref="H19:H20"/>
    <mergeCell ref="J19:J20"/>
    <mergeCell ref="G17:G18"/>
    <mergeCell ref="H17:H18"/>
    <mergeCell ref="J17:J18"/>
    <mergeCell ref="K17:K18"/>
    <mergeCell ref="L17:L18"/>
    <mergeCell ref="T19:T20"/>
    <mergeCell ref="M19:M20"/>
    <mergeCell ref="D20:E20"/>
    <mergeCell ref="I17:I18"/>
    <mergeCell ref="I19:I20"/>
    <mergeCell ref="B17:B18"/>
    <mergeCell ref="D17:E17"/>
    <mergeCell ref="U15:U16"/>
    <mergeCell ref="U17:U18"/>
    <mergeCell ref="B2:R2"/>
    <mergeCell ref="B3:B4"/>
    <mergeCell ref="D3:E4"/>
    <mergeCell ref="G3:G4"/>
    <mergeCell ref="H3:H4"/>
    <mergeCell ref="I3:I4"/>
    <mergeCell ref="M13:M14"/>
    <mergeCell ref="M17:M18"/>
    <mergeCell ref="N13:N14"/>
    <mergeCell ref="R13:R14"/>
    <mergeCell ref="D14:E14"/>
    <mergeCell ref="B15:B16"/>
    <mergeCell ref="D15:E15"/>
    <mergeCell ref="G15:G16"/>
    <mergeCell ref="H15:H16"/>
    <mergeCell ref="J15:J16"/>
    <mergeCell ref="K15:K16"/>
    <mergeCell ref="D13:E13"/>
    <mergeCell ref="G13:G14"/>
    <mergeCell ref="H13:H14"/>
    <mergeCell ref="J13:J14"/>
    <mergeCell ref="K13:K14"/>
    <mergeCell ref="U5:U6"/>
    <mergeCell ref="U7:U8"/>
    <mergeCell ref="U9:U10"/>
    <mergeCell ref="U11:U12"/>
    <mergeCell ref="U13:U14"/>
    <mergeCell ref="K5:K6"/>
    <mergeCell ref="L5:L6"/>
    <mergeCell ref="M5:M6"/>
    <mergeCell ref="N5:N6"/>
    <mergeCell ref="R5:R6"/>
    <mergeCell ref="T5:T6"/>
    <mergeCell ref="K11:K12"/>
    <mergeCell ref="L11:L12"/>
    <mergeCell ref="M11:M12"/>
    <mergeCell ref="N11:N12"/>
    <mergeCell ref="I15:I16"/>
    <mergeCell ref="R11:R12"/>
    <mergeCell ref="N19:N20"/>
    <mergeCell ref="R19:R20"/>
    <mergeCell ref="D6:E6"/>
    <mergeCell ref="N7:N8"/>
    <mergeCell ref="R7:R8"/>
    <mergeCell ref="K9:K10"/>
    <mergeCell ref="L9:L10"/>
    <mergeCell ref="M9:M10"/>
    <mergeCell ref="N9:N10"/>
    <mergeCell ref="R9:R10"/>
    <mergeCell ref="D10:E10"/>
    <mergeCell ref="M7:M8"/>
    <mergeCell ref="D8:E8"/>
    <mergeCell ref="I5:I6"/>
    <mergeCell ref="K7:K8"/>
    <mergeCell ref="L7:L8"/>
    <mergeCell ref="D12:E12"/>
    <mergeCell ref="D11:E11"/>
    <mergeCell ref="G11:G12"/>
    <mergeCell ref="H11:H12"/>
    <mergeCell ref="J11:J12"/>
    <mergeCell ref="I11:I12"/>
    <mergeCell ref="J56:R57"/>
    <mergeCell ref="B45:I45"/>
    <mergeCell ref="J49:R49"/>
    <mergeCell ref="B47:I48"/>
    <mergeCell ref="J50:R50"/>
    <mergeCell ref="H24:K24"/>
    <mergeCell ref="B35:E35"/>
    <mergeCell ref="B42:E42"/>
    <mergeCell ref="B52:F52"/>
    <mergeCell ref="B56:F56"/>
    <mergeCell ref="B31:E32"/>
    <mergeCell ref="F30:I31"/>
    <mergeCell ref="H32:I32"/>
    <mergeCell ref="K25:N25"/>
    <mergeCell ref="B5:B6"/>
    <mergeCell ref="D5:E5"/>
    <mergeCell ref="G5:G6"/>
    <mergeCell ref="H5:H6"/>
    <mergeCell ref="J5:J6"/>
    <mergeCell ref="B7:B8"/>
    <mergeCell ref="D7:E7"/>
    <mergeCell ref="G7:G8"/>
    <mergeCell ref="H7:H8"/>
    <mergeCell ref="J7:J8"/>
    <mergeCell ref="I7:I8"/>
    <mergeCell ref="Y25:AA25"/>
    <mergeCell ref="T17:T18"/>
    <mergeCell ref="T15:T16"/>
    <mergeCell ref="T13:T14"/>
    <mergeCell ref="T11:T12"/>
    <mergeCell ref="T9:T10"/>
    <mergeCell ref="T7:T8"/>
    <mergeCell ref="B9:B10"/>
    <mergeCell ref="D9:E9"/>
    <mergeCell ref="G9:G10"/>
    <mergeCell ref="H9:H10"/>
    <mergeCell ref="J9:J10"/>
    <mergeCell ref="I9:I10"/>
    <mergeCell ref="K19:K20"/>
    <mergeCell ref="L19:L20"/>
    <mergeCell ref="N15:N16"/>
    <mergeCell ref="B13:B14"/>
    <mergeCell ref="L13:L14"/>
    <mergeCell ref="L15:L16"/>
    <mergeCell ref="M15:M16"/>
    <mergeCell ref="R15:R16"/>
    <mergeCell ref="D16:E16"/>
    <mergeCell ref="I13:I14"/>
    <mergeCell ref="B11:B12"/>
  </mergeCells>
  <conditionalFormatting sqref="B7:B8">
    <cfRule type="expression" dxfId="15" priority="19">
      <formula>B7&lt;B5</formula>
    </cfRule>
  </conditionalFormatting>
  <conditionalFormatting sqref="B9:B20">
    <cfRule type="expression" dxfId="14" priority="18">
      <formula>B9&lt;B7</formula>
    </cfRule>
  </conditionalFormatting>
  <conditionalFormatting sqref="F5:F20">
    <cfRule type="expression" dxfId="13" priority="17">
      <formula>AND((B5=B3),(F5&lt;F4))</formula>
    </cfRule>
  </conditionalFormatting>
  <conditionalFormatting sqref="L5:L20">
    <cfRule type="expression" dxfId="12" priority="9">
      <formula>$E$23="ano"</formula>
    </cfRule>
  </conditionalFormatting>
  <conditionalFormatting sqref="L27:N43">
    <cfRule type="expression" dxfId="11" priority="7">
      <formula>$E$22="ne"</formula>
    </cfRule>
  </conditionalFormatting>
  <conditionalFormatting sqref="B7:B20">
    <cfRule type="expression" dxfId="10" priority="5">
      <formula>(B7-$B$5)&gt;16</formula>
    </cfRule>
    <cfRule type="expression" dxfId="9" priority="6">
      <formula>AND(B7&lt;&gt;"",B5="")</formula>
    </cfRule>
  </conditionalFormatting>
  <conditionalFormatting sqref="R28">
    <cfRule type="expression" dxfId="8" priority="1">
      <formula>(AND(K29="",(Q7+Q5)&lt;Q24))</formula>
    </cfRule>
  </conditionalFormatting>
  <dataValidations count="3">
    <dataValidation type="list" allowBlank="1" showInputMessage="1" showErrorMessage="1" sqref="Z6" xr:uid="{8447480C-702E-4203-92A4-DE7CE8A79AD1}">
      <formula1>$Y$15:$Y$17</formula1>
    </dataValidation>
    <dataValidation type="date" showInputMessage="1" showErrorMessage="1" errorTitle="Chybně zadaný datum" error="Opravte zadanou hodnotu na datum ve tvaru &quot;dd.mm.rr&quot;.  Např. 15.03.20" promptTitle="Datum" prompt="Datum zadejte ve tvaru dd.mm.rr" sqref="B5:B20" xr:uid="{50A9605A-B5D5-43CE-8EF5-714078438E22}">
      <formula1>43466</formula1>
      <formula2>44196</formula2>
    </dataValidation>
    <dataValidation type="time" allowBlank="1" showInputMessage="1" showErrorMessage="1" errorTitle="Chybně zadaný čas" error="Zadejte čas ve tvaru &quot;hh:mm&quot;. Např.  14:35, max. hodnota je 23:59" promptTitle="Čas" prompt="Zadejte čas odjezdu nebo příjezdu ve tvaru hh:mm" sqref="F5:F20" xr:uid="{A0AE60D8-F700-428F-975E-A66CEEF770E3}">
      <formula1>0</formula1>
      <formula2>0.999988425925926</formula2>
    </dataValidation>
  </dataValidations>
  <pageMargins left="0.39370078740157483" right="0.19685039370078741" top="0.19685039370078741" bottom="0.39370078740157483" header="0.31496062992125984" footer="0.19685039370078741"/>
  <pageSetup paperSize="9" scale="76" orientation="portrait" r:id="rId1"/>
  <headerFooter>
    <oddFooter>&amp;L&amp;7Univerzita Karlova Právnická fakulta 
nám. Curieových 901/7
116 40  Praha 1&amp;C&amp;7IČO: 00216208 
 DIČ: CZ00216208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C58D6BF-4CB6-42DD-AA2C-6D8E8355234F}">
          <x14:formula1>
            <xm:f>List1!$B$3:$B$11</xm:f>
          </x14:formula1>
          <xm:sqref>G5:G20</xm:sqref>
        </x14:dataValidation>
        <x14:dataValidation type="list" allowBlank="1" showInputMessage="1" showErrorMessage="1" xr:uid="{2D8AF3D9-451B-4AD5-8C00-0D4B951A3AB5}">
          <x14:formula1>
            <xm:f>List1!$K$2:$K$3</xm:f>
          </x14:formula1>
          <xm:sqref>E22:E23 L27:N43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6B298-D6BA-4A53-B4F7-CEE05C7E7349}">
  <sheetPr codeName="List3">
    <pageSetUpPr fitToPage="1"/>
  </sheetPr>
  <dimension ref="A1:BB62"/>
  <sheetViews>
    <sheetView showGridLines="0" tabSelected="1" showWhiteSpace="0" zoomScaleNormal="100" zoomScaleSheetLayoutView="115" zoomScalePageLayoutView="130" workbookViewId="0">
      <selection activeCell="E7" sqref="E7"/>
    </sheetView>
  </sheetViews>
  <sheetFormatPr defaultRowHeight="15" x14ac:dyDescent="0.25"/>
  <cols>
    <col min="1" max="1" width="0.7109375" customWidth="1"/>
    <col min="2" max="2" width="6.85546875" customWidth="1"/>
    <col min="3" max="3" width="5.140625" customWidth="1"/>
    <col min="4" max="5" width="11.28515625" customWidth="1"/>
    <col min="6" max="6" width="4.7109375" customWidth="1"/>
    <col min="7" max="7" width="8.5703125" customWidth="1"/>
    <col min="8" max="8" width="5.42578125" customWidth="1"/>
    <col min="9" max="9" width="10" customWidth="1"/>
    <col min="10" max="10" width="2.140625" customWidth="1"/>
    <col min="11" max="11" width="7.85546875" customWidth="1"/>
    <col min="12" max="12" width="0.28515625" customWidth="1"/>
    <col min="13" max="13" width="7" customWidth="1"/>
    <col min="14" max="14" width="6.42578125" customWidth="1"/>
    <col min="15" max="15" width="8" customWidth="1"/>
    <col min="16" max="16" width="7.42578125" hidden="1" customWidth="1"/>
    <col min="17" max="18" width="11.140625" hidden="1" customWidth="1"/>
    <col min="19" max="19" width="8.28515625" hidden="1" customWidth="1"/>
    <col min="20" max="20" width="7" hidden="1" customWidth="1"/>
    <col min="21" max="21" width="7.85546875" hidden="1" customWidth="1"/>
    <col min="22" max="23" width="9.28515625" hidden="1" customWidth="1"/>
    <col min="24" max="24" width="10.140625" hidden="1" customWidth="1"/>
    <col min="25" max="25" width="7.42578125" hidden="1" customWidth="1"/>
    <col min="26" max="26" width="1.28515625" customWidth="1"/>
    <col min="27" max="29" width="11.42578125" customWidth="1"/>
    <col min="30" max="32" width="9.28515625" hidden="1" customWidth="1"/>
    <col min="33" max="33" width="21.5703125" hidden="1" customWidth="1"/>
    <col min="34" max="34" width="7.140625" hidden="1" customWidth="1"/>
    <col min="35" max="35" width="11.140625" hidden="1" customWidth="1"/>
    <col min="36" max="36" width="4" customWidth="1"/>
    <col min="37" max="37" width="20.85546875" style="6" customWidth="1"/>
    <col min="38" max="38" width="14.42578125" style="6" customWidth="1"/>
    <col min="39" max="39" width="9.5703125" style="6" customWidth="1"/>
    <col min="40" max="40" width="22.42578125" style="6" hidden="1" customWidth="1"/>
    <col min="41" max="45" width="11.7109375" style="6" hidden="1" customWidth="1"/>
    <col min="46" max="46" width="11.7109375" style="6" customWidth="1"/>
    <col min="279" max="279" width="6.28515625" customWidth="1"/>
    <col min="280" max="280" width="5.140625" customWidth="1"/>
    <col min="281" max="281" width="8.5703125" customWidth="1"/>
    <col min="282" max="282" width="6.5703125" customWidth="1"/>
    <col min="283" max="283" width="7.28515625" customWidth="1"/>
    <col min="284" max="284" width="4.85546875" customWidth="1"/>
    <col min="285" max="285" width="5.85546875" customWidth="1"/>
    <col min="286" max="288" width="6.140625" customWidth="1"/>
    <col min="289" max="289" width="6.5703125" customWidth="1"/>
    <col min="290" max="290" width="6.7109375" customWidth="1"/>
    <col min="291" max="291" width="6.140625" customWidth="1"/>
    <col min="292" max="292" width="7.42578125" customWidth="1"/>
    <col min="293" max="293" width="7.140625" customWidth="1"/>
    <col min="535" max="535" width="6.28515625" customWidth="1"/>
    <col min="536" max="536" width="5.140625" customWidth="1"/>
    <col min="537" max="537" width="8.5703125" customWidth="1"/>
    <col min="538" max="538" width="6.5703125" customWidth="1"/>
    <col min="539" max="539" width="7.28515625" customWidth="1"/>
    <col min="540" max="540" width="4.85546875" customWidth="1"/>
    <col min="541" max="541" width="5.85546875" customWidth="1"/>
    <col min="542" max="544" width="6.140625" customWidth="1"/>
    <col min="545" max="545" width="6.5703125" customWidth="1"/>
    <col min="546" max="546" width="6.7109375" customWidth="1"/>
    <col min="547" max="547" width="6.140625" customWidth="1"/>
    <col min="548" max="548" width="7.42578125" customWidth="1"/>
    <col min="549" max="549" width="7.140625" customWidth="1"/>
    <col min="791" max="791" width="6.28515625" customWidth="1"/>
    <col min="792" max="792" width="5.140625" customWidth="1"/>
    <col min="793" max="793" width="8.5703125" customWidth="1"/>
    <col min="794" max="794" width="6.5703125" customWidth="1"/>
    <col min="795" max="795" width="7.28515625" customWidth="1"/>
    <col min="796" max="796" width="4.85546875" customWidth="1"/>
    <col min="797" max="797" width="5.85546875" customWidth="1"/>
    <col min="798" max="800" width="6.140625" customWidth="1"/>
    <col min="801" max="801" width="6.5703125" customWidth="1"/>
    <col min="802" max="802" width="6.7109375" customWidth="1"/>
    <col min="803" max="803" width="6.140625" customWidth="1"/>
    <col min="804" max="804" width="7.42578125" customWidth="1"/>
    <col min="805" max="805" width="7.140625" customWidth="1"/>
    <col min="1047" max="1047" width="6.28515625" customWidth="1"/>
    <col min="1048" max="1048" width="5.140625" customWidth="1"/>
    <col min="1049" max="1049" width="8.5703125" customWidth="1"/>
    <col min="1050" max="1050" width="6.5703125" customWidth="1"/>
    <col min="1051" max="1051" width="7.28515625" customWidth="1"/>
    <col min="1052" max="1052" width="4.85546875" customWidth="1"/>
    <col min="1053" max="1053" width="5.85546875" customWidth="1"/>
    <col min="1054" max="1056" width="6.140625" customWidth="1"/>
    <col min="1057" max="1057" width="6.5703125" customWidth="1"/>
    <col min="1058" max="1058" width="6.7109375" customWidth="1"/>
    <col min="1059" max="1059" width="6.140625" customWidth="1"/>
    <col min="1060" max="1060" width="7.42578125" customWidth="1"/>
    <col min="1061" max="1061" width="7.140625" customWidth="1"/>
    <col min="1303" max="1303" width="6.28515625" customWidth="1"/>
    <col min="1304" max="1304" width="5.140625" customWidth="1"/>
    <col min="1305" max="1305" width="8.5703125" customWidth="1"/>
    <col min="1306" max="1306" width="6.5703125" customWidth="1"/>
    <col min="1307" max="1307" width="7.28515625" customWidth="1"/>
    <col min="1308" max="1308" width="4.85546875" customWidth="1"/>
    <col min="1309" max="1309" width="5.85546875" customWidth="1"/>
    <col min="1310" max="1312" width="6.140625" customWidth="1"/>
    <col min="1313" max="1313" width="6.5703125" customWidth="1"/>
    <col min="1314" max="1314" width="6.7109375" customWidth="1"/>
    <col min="1315" max="1315" width="6.140625" customWidth="1"/>
    <col min="1316" max="1316" width="7.42578125" customWidth="1"/>
    <col min="1317" max="1317" width="7.140625" customWidth="1"/>
    <col min="1559" max="1559" width="6.28515625" customWidth="1"/>
    <col min="1560" max="1560" width="5.140625" customWidth="1"/>
    <col min="1561" max="1561" width="8.5703125" customWidth="1"/>
    <col min="1562" max="1562" width="6.5703125" customWidth="1"/>
    <col min="1563" max="1563" width="7.28515625" customWidth="1"/>
    <col min="1564" max="1564" width="4.85546875" customWidth="1"/>
    <col min="1565" max="1565" width="5.85546875" customWidth="1"/>
    <col min="1566" max="1568" width="6.140625" customWidth="1"/>
    <col min="1569" max="1569" width="6.5703125" customWidth="1"/>
    <col min="1570" max="1570" width="6.7109375" customWidth="1"/>
    <col min="1571" max="1571" width="6.140625" customWidth="1"/>
    <col min="1572" max="1572" width="7.42578125" customWidth="1"/>
    <col min="1573" max="1573" width="7.140625" customWidth="1"/>
    <col min="1815" max="1815" width="6.28515625" customWidth="1"/>
    <col min="1816" max="1816" width="5.140625" customWidth="1"/>
    <col min="1817" max="1817" width="8.5703125" customWidth="1"/>
    <col min="1818" max="1818" width="6.5703125" customWidth="1"/>
    <col min="1819" max="1819" width="7.28515625" customWidth="1"/>
    <col min="1820" max="1820" width="4.85546875" customWidth="1"/>
    <col min="1821" max="1821" width="5.85546875" customWidth="1"/>
    <col min="1822" max="1824" width="6.140625" customWidth="1"/>
    <col min="1825" max="1825" width="6.5703125" customWidth="1"/>
    <col min="1826" max="1826" width="6.7109375" customWidth="1"/>
    <col min="1827" max="1827" width="6.140625" customWidth="1"/>
    <col min="1828" max="1828" width="7.42578125" customWidth="1"/>
    <col min="1829" max="1829" width="7.140625" customWidth="1"/>
    <col min="2071" max="2071" width="6.28515625" customWidth="1"/>
    <col min="2072" max="2072" width="5.140625" customWidth="1"/>
    <col min="2073" max="2073" width="8.5703125" customWidth="1"/>
    <col min="2074" max="2074" width="6.5703125" customWidth="1"/>
    <col min="2075" max="2075" width="7.28515625" customWidth="1"/>
    <col min="2076" max="2076" width="4.85546875" customWidth="1"/>
    <col min="2077" max="2077" width="5.85546875" customWidth="1"/>
    <col min="2078" max="2080" width="6.140625" customWidth="1"/>
    <col min="2081" max="2081" width="6.5703125" customWidth="1"/>
    <col min="2082" max="2082" width="6.7109375" customWidth="1"/>
    <col min="2083" max="2083" width="6.140625" customWidth="1"/>
    <col min="2084" max="2084" width="7.42578125" customWidth="1"/>
    <col min="2085" max="2085" width="7.140625" customWidth="1"/>
    <col min="2327" max="2327" width="6.28515625" customWidth="1"/>
    <col min="2328" max="2328" width="5.140625" customWidth="1"/>
    <col min="2329" max="2329" width="8.5703125" customWidth="1"/>
    <col min="2330" max="2330" width="6.5703125" customWidth="1"/>
    <col min="2331" max="2331" width="7.28515625" customWidth="1"/>
    <col min="2332" max="2332" width="4.85546875" customWidth="1"/>
    <col min="2333" max="2333" width="5.85546875" customWidth="1"/>
    <col min="2334" max="2336" width="6.140625" customWidth="1"/>
    <col min="2337" max="2337" width="6.5703125" customWidth="1"/>
    <col min="2338" max="2338" width="6.7109375" customWidth="1"/>
    <col min="2339" max="2339" width="6.140625" customWidth="1"/>
    <col min="2340" max="2340" width="7.42578125" customWidth="1"/>
    <col min="2341" max="2341" width="7.140625" customWidth="1"/>
    <col min="2583" max="2583" width="6.28515625" customWidth="1"/>
    <col min="2584" max="2584" width="5.140625" customWidth="1"/>
    <col min="2585" max="2585" width="8.5703125" customWidth="1"/>
    <col min="2586" max="2586" width="6.5703125" customWidth="1"/>
    <col min="2587" max="2587" width="7.28515625" customWidth="1"/>
    <col min="2588" max="2588" width="4.85546875" customWidth="1"/>
    <col min="2589" max="2589" width="5.85546875" customWidth="1"/>
    <col min="2590" max="2592" width="6.140625" customWidth="1"/>
    <col min="2593" max="2593" width="6.5703125" customWidth="1"/>
    <col min="2594" max="2594" width="6.7109375" customWidth="1"/>
    <col min="2595" max="2595" width="6.140625" customWidth="1"/>
    <col min="2596" max="2596" width="7.42578125" customWidth="1"/>
    <col min="2597" max="2597" width="7.140625" customWidth="1"/>
    <col min="2839" max="2839" width="6.28515625" customWidth="1"/>
    <col min="2840" max="2840" width="5.140625" customWidth="1"/>
    <col min="2841" max="2841" width="8.5703125" customWidth="1"/>
    <col min="2842" max="2842" width="6.5703125" customWidth="1"/>
    <col min="2843" max="2843" width="7.28515625" customWidth="1"/>
    <col min="2844" max="2844" width="4.85546875" customWidth="1"/>
    <col min="2845" max="2845" width="5.85546875" customWidth="1"/>
    <col min="2846" max="2848" width="6.140625" customWidth="1"/>
    <col min="2849" max="2849" width="6.5703125" customWidth="1"/>
    <col min="2850" max="2850" width="6.7109375" customWidth="1"/>
    <col min="2851" max="2851" width="6.140625" customWidth="1"/>
    <col min="2852" max="2852" width="7.42578125" customWidth="1"/>
    <col min="2853" max="2853" width="7.140625" customWidth="1"/>
    <col min="3095" max="3095" width="6.28515625" customWidth="1"/>
    <col min="3096" max="3096" width="5.140625" customWidth="1"/>
    <col min="3097" max="3097" width="8.5703125" customWidth="1"/>
    <col min="3098" max="3098" width="6.5703125" customWidth="1"/>
    <col min="3099" max="3099" width="7.28515625" customWidth="1"/>
    <col min="3100" max="3100" width="4.85546875" customWidth="1"/>
    <col min="3101" max="3101" width="5.85546875" customWidth="1"/>
    <col min="3102" max="3104" width="6.140625" customWidth="1"/>
    <col min="3105" max="3105" width="6.5703125" customWidth="1"/>
    <col min="3106" max="3106" width="6.7109375" customWidth="1"/>
    <col min="3107" max="3107" width="6.140625" customWidth="1"/>
    <col min="3108" max="3108" width="7.42578125" customWidth="1"/>
    <col min="3109" max="3109" width="7.140625" customWidth="1"/>
    <col min="3351" max="3351" width="6.28515625" customWidth="1"/>
    <col min="3352" max="3352" width="5.140625" customWidth="1"/>
    <col min="3353" max="3353" width="8.5703125" customWidth="1"/>
    <col min="3354" max="3354" width="6.5703125" customWidth="1"/>
    <col min="3355" max="3355" width="7.28515625" customWidth="1"/>
    <col min="3356" max="3356" width="4.85546875" customWidth="1"/>
    <col min="3357" max="3357" width="5.85546875" customWidth="1"/>
    <col min="3358" max="3360" width="6.140625" customWidth="1"/>
    <col min="3361" max="3361" width="6.5703125" customWidth="1"/>
    <col min="3362" max="3362" width="6.7109375" customWidth="1"/>
    <col min="3363" max="3363" width="6.140625" customWidth="1"/>
    <col min="3364" max="3364" width="7.42578125" customWidth="1"/>
    <col min="3365" max="3365" width="7.140625" customWidth="1"/>
    <col min="3607" max="3607" width="6.28515625" customWidth="1"/>
    <col min="3608" max="3608" width="5.140625" customWidth="1"/>
    <col min="3609" max="3609" width="8.5703125" customWidth="1"/>
    <col min="3610" max="3610" width="6.5703125" customWidth="1"/>
    <col min="3611" max="3611" width="7.28515625" customWidth="1"/>
    <col min="3612" max="3612" width="4.85546875" customWidth="1"/>
    <col min="3613" max="3613" width="5.85546875" customWidth="1"/>
    <col min="3614" max="3616" width="6.140625" customWidth="1"/>
    <col min="3617" max="3617" width="6.5703125" customWidth="1"/>
    <col min="3618" max="3618" width="6.7109375" customWidth="1"/>
    <col min="3619" max="3619" width="6.140625" customWidth="1"/>
    <col min="3620" max="3620" width="7.42578125" customWidth="1"/>
    <col min="3621" max="3621" width="7.140625" customWidth="1"/>
    <col min="3863" max="3863" width="6.28515625" customWidth="1"/>
    <col min="3864" max="3864" width="5.140625" customWidth="1"/>
    <col min="3865" max="3865" width="8.5703125" customWidth="1"/>
    <col min="3866" max="3866" width="6.5703125" customWidth="1"/>
    <col min="3867" max="3867" width="7.28515625" customWidth="1"/>
    <col min="3868" max="3868" width="4.85546875" customWidth="1"/>
    <col min="3869" max="3869" width="5.85546875" customWidth="1"/>
    <col min="3870" max="3872" width="6.140625" customWidth="1"/>
    <col min="3873" max="3873" width="6.5703125" customWidth="1"/>
    <col min="3874" max="3874" width="6.7109375" customWidth="1"/>
    <col min="3875" max="3875" width="6.140625" customWidth="1"/>
    <col min="3876" max="3876" width="7.42578125" customWidth="1"/>
    <col min="3877" max="3877" width="7.140625" customWidth="1"/>
    <col min="4119" max="4119" width="6.28515625" customWidth="1"/>
    <col min="4120" max="4120" width="5.140625" customWidth="1"/>
    <col min="4121" max="4121" width="8.5703125" customWidth="1"/>
    <col min="4122" max="4122" width="6.5703125" customWidth="1"/>
    <col min="4123" max="4123" width="7.28515625" customWidth="1"/>
    <col min="4124" max="4124" width="4.85546875" customWidth="1"/>
    <col min="4125" max="4125" width="5.85546875" customWidth="1"/>
    <col min="4126" max="4128" width="6.140625" customWidth="1"/>
    <col min="4129" max="4129" width="6.5703125" customWidth="1"/>
    <col min="4130" max="4130" width="6.7109375" customWidth="1"/>
    <col min="4131" max="4131" width="6.140625" customWidth="1"/>
    <col min="4132" max="4132" width="7.42578125" customWidth="1"/>
    <col min="4133" max="4133" width="7.140625" customWidth="1"/>
    <col min="4375" max="4375" width="6.28515625" customWidth="1"/>
    <col min="4376" max="4376" width="5.140625" customWidth="1"/>
    <col min="4377" max="4377" width="8.5703125" customWidth="1"/>
    <col min="4378" max="4378" width="6.5703125" customWidth="1"/>
    <col min="4379" max="4379" width="7.28515625" customWidth="1"/>
    <col min="4380" max="4380" width="4.85546875" customWidth="1"/>
    <col min="4381" max="4381" width="5.85546875" customWidth="1"/>
    <col min="4382" max="4384" width="6.140625" customWidth="1"/>
    <col min="4385" max="4385" width="6.5703125" customWidth="1"/>
    <col min="4386" max="4386" width="6.7109375" customWidth="1"/>
    <col min="4387" max="4387" width="6.140625" customWidth="1"/>
    <col min="4388" max="4388" width="7.42578125" customWidth="1"/>
    <col min="4389" max="4389" width="7.140625" customWidth="1"/>
    <col min="4631" max="4631" width="6.28515625" customWidth="1"/>
    <col min="4632" max="4632" width="5.140625" customWidth="1"/>
    <col min="4633" max="4633" width="8.5703125" customWidth="1"/>
    <col min="4634" max="4634" width="6.5703125" customWidth="1"/>
    <col min="4635" max="4635" width="7.28515625" customWidth="1"/>
    <col min="4636" max="4636" width="4.85546875" customWidth="1"/>
    <col min="4637" max="4637" width="5.85546875" customWidth="1"/>
    <col min="4638" max="4640" width="6.140625" customWidth="1"/>
    <col min="4641" max="4641" width="6.5703125" customWidth="1"/>
    <col min="4642" max="4642" width="6.7109375" customWidth="1"/>
    <col min="4643" max="4643" width="6.140625" customWidth="1"/>
    <col min="4644" max="4644" width="7.42578125" customWidth="1"/>
    <col min="4645" max="4645" width="7.140625" customWidth="1"/>
    <col min="4887" max="4887" width="6.28515625" customWidth="1"/>
    <col min="4888" max="4888" width="5.140625" customWidth="1"/>
    <col min="4889" max="4889" width="8.5703125" customWidth="1"/>
    <col min="4890" max="4890" width="6.5703125" customWidth="1"/>
    <col min="4891" max="4891" width="7.28515625" customWidth="1"/>
    <col min="4892" max="4892" width="4.85546875" customWidth="1"/>
    <col min="4893" max="4893" width="5.85546875" customWidth="1"/>
    <col min="4894" max="4896" width="6.140625" customWidth="1"/>
    <col min="4897" max="4897" width="6.5703125" customWidth="1"/>
    <col min="4898" max="4898" width="6.7109375" customWidth="1"/>
    <col min="4899" max="4899" width="6.140625" customWidth="1"/>
    <col min="4900" max="4900" width="7.42578125" customWidth="1"/>
    <col min="4901" max="4901" width="7.140625" customWidth="1"/>
    <col min="5143" max="5143" width="6.28515625" customWidth="1"/>
    <col min="5144" max="5144" width="5.140625" customWidth="1"/>
    <col min="5145" max="5145" width="8.5703125" customWidth="1"/>
    <col min="5146" max="5146" width="6.5703125" customWidth="1"/>
    <col min="5147" max="5147" width="7.28515625" customWidth="1"/>
    <col min="5148" max="5148" width="4.85546875" customWidth="1"/>
    <col min="5149" max="5149" width="5.85546875" customWidth="1"/>
    <col min="5150" max="5152" width="6.140625" customWidth="1"/>
    <col min="5153" max="5153" width="6.5703125" customWidth="1"/>
    <col min="5154" max="5154" width="6.7109375" customWidth="1"/>
    <col min="5155" max="5155" width="6.140625" customWidth="1"/>
    <col min="5156" max="5156" width="7.42578125" customWidth="1"/>
    <col min="5157" max="5157" width="7.140625" customWidth="1"/>
    <col min="5399" max="5399" width="6.28515625" customWidth="1"/>
    <col min="5400" max="5400" width="5.140625" customWidth="1"/>
    <col min="5401" max="5401" width="8.5703125" customWidth="1"/>
    <col min="5402" max="5402" width="6.5703125" customWidth="1"/>
    <col min="5403" max="5403" width="7.28515625" customWidth="1"/>
    <col min="5404" max="5404" width="4.85546875" customWidth="1"/>
    <col min="5405" max="5405" width="5.85546875" customWidth="1"/>
    <col min="5406" max="5408" width="6.140625" customWidth="1"/>
    <col min="5409" max="5409" width="6.5703125" customWidth="1"/>
    <col min="5410" max="5410" width="6.7109375" customWidth="1"/>
    <col min="5411" max="5411" width="6.140625" customWidth="1"/>
    <col min="5412" max="5412" width="7.42578125" customWidth="1"/>
    <col min="5413" max="5413" width="7.140625" customWidth="1"/>
    <col min="5655" max="5655" width="6.28515625" customWidth="1"/>
    <col min="5656" max="5656" width="5.140625" customWidth="1"/>
    <col min="5657" max="5657" width="8.5703125" customWidth="1"/>
    <col min="5658" max="5658" width="6.5703125" customWidth="1"/>
    <col min="5659" max="5659" width="7.28515625" customWidth="1"/>
    <col min="5660" max="5660" width="4.85546875" customWidth="1"/>
    <col min="5661" max="5661" width="5.85546875" customWidth="1"/>
    <col min="5662" max="5664" width="6.140625" customWidth="1"/>
    <col min="5665" max="5665" width="6.5703125" customWidth="1"/>
    <col min="5666" max="5666" width="6.7109375" customWidth="1"/>
    <col min="5667" max="5667" width="6.140625" customWidth="1"/>
    <col min="5668" max="5668" width="7.42578125" customWidth="1"/>
    <col min="5669" max="5669" width="7.140625" customWidth="1"/>
    <col min="5911" max="5911" width="6.28515625" customWidth="1"/>
    <col min="5912" max="5912" width="5.140625" customWidth="1"/>
    <col min="5913" max="5913" width="8.5703125" customWidth="1"/>
    <col min="5914" max="5914" width="6.5703125" customWidth="1"/>
    <col min="5915" max="5915" width="7.28515625" customWidth="1"/>
    <col min="5916" max="5916" width="4.85546875" customWidth="1"/>
    <col min="5917" max="5917" width="5.85546875" customWidth="1"/>
    <col min="5918" max="5920" width="6.140625" customWidth="1"/>
    <col min="5921" max="5921" width="6.5703125" customWidth="1"/>
    <col min="5922" max="5922" width="6.7109375" customWidth="1"/>
    <col min="5923" max="5923" width="6.140625" customWidth="1"/>
    <col min="5924" max="5924" width="7.42578125" customWidth="1"/>
    <col min="5925" max="5925" width="7.140625" customWidth="1"/>
    <col min="6167" max="6167" width="6.28515625" customWidth="1"/>
    <col min="6168" max="6168" width="5.140625" customWidth="1"/>
    <col min="6169" max="6169" width="8.5703125" customWidth="1"/>
    <col min="6170" max="6170" width="6.5703125" customWidth="1"/>
    <col min="6171" max="6171" width="7.28515625" customWidth="1"/>
    <col min="6172" max="6172" width="4.85546875" customWidth="1"/>
    <col min="6173" max="6173" width="5.85546875" customWidth="1"/>
    <col min="6174" max="6176" width="6.140625" customWidth="1"/>
    <col min="6177" max="6177" width="6.5703125" customWidth="1"/>
    <col min="6178" max="6178" width="6.7109375" customWidth="1"/>
    <col min="6179" max="6179" width="6.140625" customWidth="1"/>
    <col min="6180" max="6180" width="7.42578125" customWidth="1"/>
    <col min="6181" max="6181" width="7.140625" customWidth="1"/>
    <col min="6423" max="6423" width="6.28515625" customWidth="1"/>
    <col min="6424" max="6424" width="5.140625" customWidth="1"/>
    <col min="6425" max="6425" width="8.5703125" customWidth="1"/>
    <col min="6426" max="6426" width="6.5703125" customWidth="1"/>
    <col min="6427" max="6427" width="7.28515625" customWidth="1"/>
    <col min="6428" max="6428" width="4.85546875" customWidth="1"/>
    <col min="6429" max="6429" width="5.85546875" customWidth="1"/>
    <col min="6430" max="6432" width="6.140625" customWidth="1"/>
    <col min="6433" max="6433" width="6.5703125" customWidth="1"/>
    <col min="6434" max="6434" width="6.7109375" customWidth="1"/>
    <col min="6435" max="6435" width="6.140625" customWidth="1"/>
    <col min="6436" max="6436" width="7.42578125" customWidth="1"/>
    <col min="6437" max="6437" width="7.140625" customWidth="1"/>
    <col min="6679" max="6679" width="6.28515625" customWidth="1"/>
    <col min="6680" max="6680" width="5.140625" customWidth="1"/>
    <col min="6681" max="6681" width="8.5703125" customWidth="1"/>
    <col min="6682" max="6682" width="6.5703125" customWidth="1"/>
    <col min="6683" max="6683" width="7.28515625" customWidth="1"/>
    <col min="6684" max="6684" width="4.85546875" customWidth="1"/>
    <col min="6685" max="6685" width="5.85546875" customWidth="1"/>
    <col min="6686" max="6688" width="6.140625" customWidth="1"/>
    <col min="6689" max="6689" width="6.5703125" customWidth="1"/>
    <col min="6690" max="6690" width="6.7109375" customWidth="1"/>
    <col min="6691" max="6691" width="6.140625" customWidth="1"/>
    <col min="6692" max="6692" width="7.42578125" customWidth="1"/>
    <col min="6693" max="6693" width="7.140625" customWidth="1"/>
    <col min="6935" max="6935" width="6.28515625" customWidth="1"/>
    <col min="6936" max="6936" width="5.140625" customWidth="1"/>
    <col min="6937" max="6937" width="8.5703125" customWidth="1"/>
    <col min="6938" max="6938" width="6.5703125" customWidth="1"/>
    <col min="6939" max="6939" width="7.28515625" customWidth="1"/>
    <col min="6940" max="6940" width="4.85546875" customWidth="1"/>
    <col min="6941" max="6941" width="5.85546875" customWidth="1"/>
    <col min="6942" max="6944" width="6.140625" customWidth="1"/>
    <col min="6945" max="6945" width="6.5703125" customWidth="1"/>
    <col min="6946" max="6946" width="6.7109375" customWidth="1"/>
    <col min="6947" max="6947" width="6.140625" customWidth="1"/>
    <col min="6948" max="6948" width="7.42578125" customWidth="1"/>
    <col min="6949" max="6949" width="7.140625" customWidth="1"/>
    <col min="7191" max="7191" width="6.28515625" customWidth="1"/>
    <col min="7192" max="7192" width="5.140625" customWidth="1"/>
    <col min="7193" max="7193" width="8.5703125" customWidth="1"/>
    <col min="7194" max="7194" width="6.5703125" customWidth="1"/>
    <col min="7195" max="7195" width="7.28515625" customWidth="1"/>
    <col min="7196" max="7196" width="4.85546875" customWidth="1"/>
    <col min="7197" max="7197" width="5.85546875" customWidth="1"/>
    <col min="7198" max="7200" width="6.140625" customWidth="1"/>
    <col min="7201" max="7201" width="6.5703125" customWidth="1"/>
    <col min="7202" max="7202" width="6.7109375" customWidth="1"/>
    <col min="7203" max="7203" width="6.140625" customWidth="1"/>
    <col min="7204" max="7204" width="7.42578125" customWidth="1"/>
    <col min="7205" max="7205" width="7.140625" customWidth="1"/>
    <col min="7447" max="7447" width="6.28515625" customWidth="1"/>
    <col min="7448" max="7448" width="5.140625" customWidth="1"/>
    <col min="7449" max="7449" width="8.5703125" customWidth="1"/>
    <col min="7450" max="7450" width="6.5703125" customWidth="1"/>
    <col min="7451" max="7451" width="7.28515625" customWidth="1"/>
    <col min="7452" max="7452" width="4.85546875" customWidth="1"/>
    <col min="7453" max="7453" width="5.85546875" customWidth="1"/>
    <col min="7454" max="7456" width="6.140625" customWidth="1"/>
    <col min="7457" max="7457" width="6.5703125" customWidth="1"/>
    <col min="7458" max="7458" width="6.7109375" customWidth="1"/>
    <col min="7459" max="7459" width="6.140625" customWidth="1"/>
    <col min="7460" max="7460" width="7.42578125" customWidth="1"/>
    <col min="7461" max="7461" width="7.140625" customWidth="1"/>
    <col min="7703" max="7703" width="6.28515625" customWidth="1"/>
    <col min="7704" max="7704" width="5.140625" customWidth="1"/>
    <col min="7705" max="7705" width="8.5703125" customWidth="1"/>
    <col min="7706" max="7706" width="6.5703125" customWidth="1"/>
    <col min="7707" max="7707" width="7.28515625" customWidth="1"/>
    <col min="7708" max="7708" width="4.85546875" customWidth="1"/>
    <col min="7709" max="7709" width="5.85546875" customWidth="1"/>
    <col min="7710" max="7712" width="6.140625" customWidth="1"/>
    <col min="7713" max="7713" width="6.5703125" customWidth="1"/>
    <col min="7714" max="7714" width="6.7109375" customWidth="1"/>
    <col min="7715" max="7715" width="6.140625" customWidth="1"/>
    <col min="7716" max="7716" width="7.42578125" customWidth="1"/>
    <col min="7717" max="7717" width="7.140625" customWidth="1"/>
    <col min="7959" max="7959" width="6.28515625" customWidth="1"/>
    <col min="7960" max="7960" width="5.140625" customWidth="1"/>
    <col min="7961" max="7961" width="8.5703125" customWidth="1"/>
    <col min="7962" max="7962" width="6.5703125" customWidth="1"/>
    <col min="7963" max="7963" width="7.28515625" customWidth="1"/>
    <col min="7964" max="7964" width="4.85546875" customWidth="1"/>
    <col min="7965" max="7965" width="5.85546875" customWidth="1"/>
    <col min="7966" max="7968" width="6.140625" customWidth="1"/>
    <col min="7969" max="7969" width="6.5703125" customWidth="1"/>
    <col min="7970" max="7970" width="6.7109375" customWidth="1"/>
    <col min="7971" max="7971" width="6.140625" customWidth="1"/>
    <col min="7972" max="7972" width="7.42578125" customWidth="1"/>
    <col min="7973" max="7973" width="7.140625" customWidth="1"/>
    <col min="8215" max="8215" width="6.28515625" customWidth="1"/>
    <col min="8216" max="8216" width="5.140625" customWidth="1"/>
    <col min="8217" max="8217" width="8.5703125" customWidth="1"/>
    <col min="8218" max="8218" width="6.5703125" customWidth="1"/>
    <col min="8219" max="8219" width="7.28515625" customWidth="1"/>
    <col min="8220" max="8220" width="4.85546875" customWidth="1"/>
    <col min="8221" max="8221" width="5.85546875" customWidth="1"/>
    <col min="8222" max="8224" width="6.140625" customWidth="1"/>
    <col min="8225" max="8225" width="6.5703125" customWidth="1"/>
    <col min="8226" max="8226" width="6.7109375" customWidth="1"/>
    <col min="8227" max="8227" width="6.140625" customWidth="1"/>
    <col min="8228" max="8228" width="7.42578125" customWidth="1"/>
    <col min="8229" max="8229" width="7.140625" customWidth="1"/>
    <col min="8471" max="8471" width="6.28515625" customWidth="1"/>
    <col min="8472" max="8472" width="5.140625" customWidth="1"/>
    <col min="8473" max="8473" width="8.5703125" customWidth="1"/>
    <col min="8474" max="8474" width="6.5703125" customWidth="1"/>
    <col min="8475" max="8475" width="7.28515625" customWidth="1"/>
    <col min="8476" max="8476" width="4.85546875" customWidth="1"/>
    <col min="8477" max="8477" width="5.85546875" customWidth="1"/>
    <col min="8478" max="8480" width="6.140625" customWidth="1"/>
    <col min="8481" max="8481" width="6.5703125" customWidth="1"/>
    <col min="8482" max="8482" width="6.7109375" customWidth="1"/>
    <col min="8483" max="8483" width="6.140625" customWidth="1"/>
    <col min="8484" max="8484" width="7.42578125" customWidth="1"/>
    <col min="8485" max="8485" width="7.140625" customWidth="1"/>
    <col min="8727" max="8727" width="6.28515625" customWidth="1"/>
    <col min="8728" max="8728" width="5.140625" customWidth="1"/>
    <col min="8729" max="8729" width="8.5703125" customWidth="1"/>
    <col min="8730" max="8730" width="6.5703125" customWidth="1"/>
    <col min="8731" max="8731" width="7.28515625" customWidth="1"/>
    <col min="8732" max="8732" width="4.85546875" customWidth="1"/>
    <col min="8733" max="8733" width="5.85546875" customWidth="1"/>
    <col min="8734" max="8736" width="6.140625" customWidth="1"/>
    <col min="8737" max="8737" width="6.5703125" customWidth="1"/>
    <col min="8738" max="8738" width="6.7109375" customWidth="1"/>
    <col min="8739" max="8739" width="6.140625" customWidth="1"/>
    <col min="8740" max="8740" width="7.42578125" customWidth="1"/>
    <col min="8741" max="8741" width="7.140625" customWidth="1"/>
    <col min="8983" max="8983" width="6.28515625" customWidth="1"/>
    <col min="8984" max="8984" width="5.140625" customWidth="1"/>
    <col min="8985" max="8985" width="8.5703125" customWidth="1"/>
    <col min="8986" max="8986" width="6.5703125" customWidth="1"/>
    <col min="8987" max="8987" width="7.28515625" customWidth="1"/>
    <col min="8988" max="8988" width="4.85546875" customWidth="1"/>
    <col min="8989" max="8989" width="5.85546875" customWidth="1"/>
    <col min="8990" max="8992" width="6.140625" customWidth="1"/>
    <col min="8993" max="8993" width="6.5703125" customWidth="1"/>
    <col min="8994" max="8994" width="6.7109375" customWidth="1"/>
    <col min="8995" max="8995" width="6.140625" customWidth="1"/>
    <col min="8996" max="8996" width="7.42578125" customWidth="1"/>
    <col min="8997" max="8997" width="7.140625" customWidth="1"/>
    <col min="9239" max="9239" width="6.28515625" customWidth="1"/>
    <col min="9240" max="9240" width="5.140625" customWidth="1"/>
    <col min="9241" max="9241" width="8.5703125" customWidth="1"/>
    <col min="9242" max="9242" width="6.5703125" customWidth="1"/>
    <col min="9243" max="9243" width="7.28515625" customWidth="1"/>
    <col min="9244" max="9244" width="4.85546875" customWidth="1"/>
    <col min="9245" max="9245" width="5.85546875" customWidth="1"/>
    <col min="9246" max="9248" width="6.140625" customWidth="1"/>
    <col min="9249" max="9249" width="6.5703125" customWidth="1"/>
    <col min="9250" max="9250" width="6.7109375" customWidth="1"/>
    <col min="9251" max="9251" width="6.140625" customWidth="1"/>
    <col min="9252" max="9252" width="7.42578125" customWidth="1"/>
    <col min="9253" max="9253" width="7.140625" customWidth="1"/>
    <col min="9495" max="9495" width="6.28515625" customWidth="1"/>
    <col min="9496" max="9496" width="5.140625" customWidth="1"/>
    <col min="9497" max="9497" width="8.5703125" customWidth="1"/>
    <col min="9498" max="9498" width="6.5703125" customWidth="1"/>
    <col min="9499" max="9499" width="7.28515625" customWidth="1"/>
    <col min="9500" max="9500" width="4.85546875" customWidth="1"/>
    <col min="9501" max="9501" width="5.85546875" customWidth="1"/>
    <col min="9502" max="9504" width="6.140625" customWidth="1"/>
    <col min="9505" max="9505" width="6.5703125" customWidth="1"/>
    <col min="9506" max="9506" width="6.7109375" customWidth="1"/>
    <col min="9507" max="9507" width="6.140625" customWidth="1"/>
    <col min="9508" max="9508" width="7.42578125" customWidth="1"/>
    <col min="9509" max="9509" width="7.140625" customWidth="1"/>
    <col min="9751" max="9751" width="6.28515625" customWidth="1"/>
    <col min="9752" max="9752" width="5.140625" customWidth="1"/>
    <col min="9753" max="9753" width="8.5703125" customWidth="1"/>
    <col min="9754" max="9754" width="6.5703125" customWidth="1"/>
    <col min="9755" max="9755" width="7.28515625" customWidth="1"/>
    <col min="9756" max="9756" width="4.85546875" customWidth="1"/>
    <col min="9757" max="9757" width="5.85546875" customWidth="1"/>
    <col min="9758" max="9760" width="6.140625" customWidth="1"/>
    <col min="9761" max="9761" width="6.5703125" customWidth="1"/>
    <col min="9762" max="9762" width="6.7109375" customWidth="1"/>
    <col min="9763" max="9763" width="6.140625" customWidth="1"/>
    <col min="9764" max="9764" width="7.42578125" customWidth="1"/>
    <col min="9765" max="9765" width="7.140625" customWidth="1"/>
    <col min="10007" max="10007" width="6.28515625" customWidth="1"/>
    <col min="10008" max="10008" width="5.140625" customWidth="1"/>
    <col min="10009" max="10009" width="8.5703125" customWidth="1"/>
    <col min="10010" max="10010" width="6.5703125" customWidth="1"/>
    <col min="10011" max="10011" width="7.28515625" customWidth="1"/>
    <col min="10012" max="10012" width="4.85546875" customWidth="1"/>
    <col min="10013" max="10013" width="5.85546875" customWidth="1"/>
    <col min="10014" max="10016" width="6.140625" customWidth="1"/>
    <col min="10017" max="10017" width="6.5703125" customWidth="1"/>
    <col min="10018" max="10018" width="6.7109375" customWidth="1"/>
    <col min="10019" max="10019" width="6.140625" customWidth="1"/>
    <col min="10020" max="10020" width="7.42578125" customWidth="1"/>
    <col min="10021" max="10021" width="7.140625" customWidth="1"/>
    <col min="10263" max="10263" width="6.28515625" customWidth="1"/>
    <col min="10264" max="10264" width="5.140625" customWidth="1"/>
    <col min="10265" max="10265" width="8.5703125" customWidth="1"/>
    <col min="10266" max="10266" width="6.5703125" customWidth="1"/>
    <col min="10267" max="10267" width="7.28515625" customWidth="1"/>
    <col min="10268" max="10268" width="4.85546875" customWidth="1"/>
    <col min="10269" max="10269" width="5.85546875" customWidth="1"/>
    <col min="10270" max="10272" width="6.140625" customWidth="1"/>
    <col min="10273" max="10273" width="6.5703125" customWidth="1"/>
    <col min="10274" max="10274" width="6.7109375" customWidth="1"/>
    <col min="10275" max="10275" width="6.140625" customWidth="1"/>
    <col min="10276" max="10276" width="7.42578125" customWidth="1"/>
    <col min="10277" max="10277" width="7.140625" customWidth="1"/>
    <col min="10519" max="10519" width="6.28515625" customWidth="1"/>
    <col min="10520" max="10520" width="5.140625" customWidth="1"/>
    <col min="10521" max="10521" width="8.5703125" customWidth="1"/>
    <col min="10522" max="10522" width="6.5703125" customWidth="1"/>
    <col min="10523" max="10523" width="7.28515625" customWidth="1"/>
    <col min="10524" max="10524" width="4.85546875" customWidth="1"/>
    <col min="10525" max="10525" width="5.85546875" customWidth="1"/>
    <col min="10526" max="10528" width="6.140625" customWidth="1"/>
    <col min="10529" max="10529" width="6.5703125" customWidth="1"/>
    <col min="10530" max="10530" width="6.7109375" customWidth="1"/>
    <col min="10531" max="10531" width="6.140625" customWidth="1"/>
    <col min="10532" max="10532" width="7.42578125" customWidth="1"/>
    <col min="10533" max="10533" width="7.140625" customWidth="1"/>
    <col min="10775" max="10775" width="6.28515625" customWidth="1"/>
    <col min="10776" max="10776" width="5.140625" customWidth="1"/>
    <col min="10777" max="10777" width="8.5703125" customWidth="1"/>
    <col min="10778" max="10778" width="6.5703125" customWidth="1"/>
    <col min="10779" max="10779" width="7.28515625" customWidth="1"/>
    <col min="10780" max="10780" width="4.85546875" customWidth="1"/>
    <col min="10781" max="10781" width="5.85546875" customWidth="1"/>
    <col min="10782" max="10784" width="6.140625" customWidth="1"/>
    <col min="10785" max="10785" width="6.5703125" customWidth="1"/>
    <col min="10786" max="10786" width="6.7109375" customWidth="1"/>
    <col min="10787" max="10787" width="6.140625" customWidth="1"/>
    <col min="10788" max="10788" width="7.42578125" customWidth="1"/>
    <col min="10789" max="10789" width="7.140625" customWidth="1"/>
    <col min="11031" max="11031" width="6.28515625" customWidth="1"/>
    <col min="11032" max="11032" width="5.140625" customWidth="1"/>
    <col min="11033" max="11033" width="8.5703125" customWidth="1"/>
    <col min="11034" max="11034" width="6.5703125" customWidth="1"/>
    <col min="11035" max="11035" width="7.28515625" customWidth="1"/>
    <col min="11036" max="11036" width="4.85546875" customWidth="1"/>
    <col min="11037" max="11037" width="5.85546875" customWidth="1"/>
    <col min="11038" max="11040" width="6.140625" customWidth="1"/>
    <col min="11041" max="11041" width="6.5703125" customWidth="1"/>
    <col min="11042" max="11042" width="6.7109375" customWidth="1"/>
    <col min="11043" max="11043" width="6.140625" customWidth="1"/>
    <col min="11044" max="11044" width="7.42578125" customWidth="1"/>
    <col min="11045" max="11045" width="7.140625" customWidth="1"/>
    <col min="11287" max="11287" width="6.28515625" customWidth="1"/>
    <col min="11288" max="11288" width="5.140625" customWidth="1"/>
    <col min="11289" max="11289" width="8.5703125" customWidth="1"/>
    <col min="11290" max="11290" width="6.5703125" customWidth="1"/>
    <col min="11291" max="11291" width="7.28515625" customWidth="1"/>
    <col min="11292" max="11292" width="4.85546875" customWidth="1"/>
    <col min="11293" max="11293" width="5.85546875" customWidth="1"/>
    <col min="11294" max="11296" width="6.140625" customWidth="1"/>
    <col min="11297" max="11297" width="6.5703125" customWidth="1"/>
    <col min="11298" max="11298" width="6.7109375" customWidth="1"/>
    <col min="11299" max="11299" width="6.140625" customWidth="1"/>
    <col min="11300" max="11300" width="7.42578125" customWidth="1"/>
    <col min="11301" max="11301" width="7.140625" customWidth="1"/>
    <col min="11543" max="11543" width="6.28515625" customWidth="1"/>
    <col min="11544" max="11544" width="5.140625" customWidth="1"/>
    <col min="11545" max="11545" width="8.5703125" customWidth="1"/>
    <col min="11546" max="11546" width="6.5703125" customWidth="1"/>
    <col min="11547" max="11547" width="7.28515625" customWidth="1"/>
    <col min="11548" max="11548" width="4.85546875" customWidth="1"/>
    <col min="11549" max="11549" width="5.85546875" customWidth="1"/>
    <col min="11550" max="11552" width="6.140625" customWidth="1"/>
    <col min="11553" max="11553" width="6.5703125" customWidth="1"/>
    <col min="11554" max="11554" width="6.7109375" customWidth="1"/>
    <col min="11555" max="11555" width="6.140625" customWidth="1"/>
    <col min="11556" max="11556" width="7.42578125" customWidth="1"/>
    <col min="11557" max="11557" width="7.140625" customWidth="1"/>
    <col min="11799" max="11799" width="6.28515625" customWidth="1"/>
    <col min="11800" max="11800" width="5.140625" customWidth="1"/>
    <col min="11801" max="11801" width="8.5703125" customWidth="1"/>
    <col min="11802" max="11802" width="6.5703125" customWidth="1"/>
    <col min="11803" max="11803" width="7.28515625" customWidth="1"/>
    <col min="11804" max="11804" width="4.85546875" customWidth="1"/>
    <col min="11805" max="11805" width="5.85546875" customWidth="1"/>
    <col min="11806" max="11808" width="6.140625" customWidth="1"/>
    <col min="11809" max="11809" width="6.5703125" customWidth="1"/>
    <col min="11810" max="11810" width="6.7109375" customWidth="1"/>
    <col min="11811" max="11811" width="6.140625" customWidth="1"/>
    <col min="11812" max="11812" width="7.42578125" customWidth="1"/>
    <col min="11813" max="11813" width="7.140625" customWidth="1"/>
    <col min="12055" max="12055" width="6.28515625" customWidth="1"/>
    <col min="12056" max="12056" width="5.140625" customWidth="1"/>
    <col min="12057" max="12057" width="8.5703125" customWidth="1"/>
    <col min="12058" max="12058" width="6.5703125" customWidth="1"/>
    <col min="12059" max="12059" width="7.28515625" customWidth="1"/>
    <col min="12060" max="12060" width="4.85546875" customWidth="1"/>
    <col min="12061" max="12061" width="5.85546875" customWidth="1"/>
    <col min="12062" max="12064" width="6.140625" customWidth="1"/>
    <col min="12065" max="12065" width="6.5703125" customWidth="1"/>
    <col min="12066" max="12066" width="6.7109375" customWidth="1"/>
    <col min="12067" max="12067" width="6.140625" customWidth="1"/>
    <col min="12068" max="12068" width="7.42578125" customWidth="1"/>
    <col min="12069" max="12069" width="7.140625" customWidth="1"/>
    <col min="12311" max="12311" width="6.28515625" customWidth="1"/>
    <col min="12312" max="12312" width="5.140625" customWidth="1"/>
    <col min="12313" max="12313" width="8.5703125" customWidth="1"/>
    <col min="12314" max="12314" width="6.5703125" customWidth="1"/>
    <col min="12315" max="12315" width="7.28515625" customWidth="1"/>
    <col min="12316" max="12316" width="4.85546875" customWidth="1"/>
    <col min="12317" max="12317" width="5.85546875" customWidth="1"/>
    <col min="12318" max="12320" width="6.140625" customWidth="1"/>
    <col min="12321" max="12321" width="6.5703125" customWidth="1"/>
    <col min="12322" max="12322" width="6.7109375" customWidth="1"/>
    <col min="12323" max="12323" width="6.140625" customWidth="1"/>
    <col min="12324" max="12324" width="7.42578125" customWidth="1"/>
    <col min="12325" max="12325" width="7.140625" customWidth="1"/>
    <col min="12567" max="12567" width="6.28515625" customWidth="1"/>
    <col min="12568" max="12568" width="5.140625" customWidth="1"/>
    <col min="12569" max="12569" width="8.5703125" customWidth="1"/>
    <col min="12570" max="12570" width="6.5703125" customWidth="1"/>
    <col min="12571" max="12571" width="7.28515625" customWidth="1"/>
    <col min="12572" max="12572" width="4.85546875" customWidth="1"/>
    <col min="12573" max="12573" width="5.85546875" customWidth="1"/>
    <col min="12574" max="12576" width="6.140625" customWidth="1"/>
    <col min="12577" max="12577" width="6.5703125" customWidth="1"/>
    <col min="12578" max="12578" width="6.7109375" customWidth="1"/>
    <col min="12579" max="12579" width="6.140625" customWidth="1"/>
    <col min="12580" max="12580" width="7.42578125" customWidth="1"/>
    <col min="12581" max="12581" width="7.140625" customWidth="1"/>
    <col min="12823" max="12823" width="6.28515625" customWidth="1"/>
    <col min="12824" max="12824" width="5.140625" customWidth="1"/>
    <col min="12825" max="12825" width="8.5703125" customWidth="1"/>
    <col min="12826" max="12826" width="6.5703125" customWidth="1"/>
    <col min="12827" max="12827" width="7.28515625" customWidth="1"/>
    <col min="12828" max="12828" width="4.85546875" customWidth="1"/>
    <col min="12829" max="12829" width="5.85546875" customWidth="1"/>
    <col min="12830" max="12832" width="6.140625" customWidth="1"/>
    <col min="12833" max="12833" width="6.5703125" customWidth="1"/>
    <col min="12834" max="12834" width="6.7109375" customWidth="1"/>
    <col min="12835" max="12835" width="6.140625" customWidth="1"/>
    <col min="12836" max="12836" width="7.42578125" customWidth="1"/>
    <col min="12837" max="12837" width="7.140625" customWidth="1"/>
    <col min="13079" max="13079" width="6.28515625" customWidth="1"/>
    <col min="13080" max="13080" width="5.140625" customWidth="1"/>
    <col min="13081" max="13081" width="8.5703125" customWidth="1"/>
    <col min="13082" max="13082" width="6.5703125" customWidth="1"/>
    <col min="13083" max="13083" width="7.28515625" customWidth="1"/>
    <col min="13084" max="13084" width="4.85546875" customWidth="1"/>
    <col min="13085" max="13085" width="5.85546875" customWidth="1"/>
    <col min="13086" max="13088" width="6.140625" customWidth="1"/>
    <col min="13089" max="13089" width="6.5703125" customWidth="1"/>
    <col min="13090" max="13090" width="6.7109375" customWidth="1"/>
    <col min="13091" max="13091" width="6.140625" customWidth="1"/>
    <col min="13092" max="13092" width="7.42578125" customWidth="1"/>
    <col min="13093" max="13093" width="7.140625" customWidth="1"/>
    <col min="13335" max="13335" width="6.28515625" customWidth="1"/>
    <col min="13336" max="13336" width="5.140625" customWidth="1"/>
    <col min="13337" max="13337" width="8.5703125" customWidth="1"/>
    <col min="13338" max="13338" width="6.5703125" customWidth="1"/>
    <col min="13339" max="13339" width="7.28515625" customWidth="1"/>
    <col min="13340" max="13340" width="4.85546875" customWidth="1"/>
    <col min="13341" max="13341" width="5.85546875" customWidth="1"/>
    <col min="13342" max="13344" width="6.140625" customWidth="1"/>
    <col min="13345" max="13345" width="6.5703125" customWidth="1"/>
    <col min="13346" max="13346" width="6.7109375" customWidth="1"/>
    <col min="13347" max="13347" width="6.140625" customWidth="1"/>
    <col min="13348" max="13348" width="7.42578125" customWidth="1"/>
    <col min="13349" max="13349" width="7.140625" customWidth="1"/>
    <col min="13591" max="13591" width="6.28515625" customWidth="1"/>
    <col min="13592" max="13592" width="5.140625" customWidth="1"/>
    <col min="13593" max="13593" width="8.5703125" customWidth="1"/>
    <col min="13594" max="13594" width="6.5703125" customWidth="1"/>
    <col min="13595" max="13595" width="7.28515625" customWidth="1"/>
    <col min="13596" max="13596" width="4.85546875" customWidth="1"/>
    <col min="13597" max="13597" width="5.85546875" customWidth="1"/>
    <col min="13598" max="13600" width="6.140625" customWidth="1"/>
    <col min="13601" max="13601" width="6.5703125" customWidth="1"/>
    <col min="13602" max="13602" width="6.7109375" customWidth="1"/>
    <col min="13603" max="13603" width="6.140625" customWidth="1"/>
    <col min="13604" max="13604" width="7.42578125" customWidth="1"/>
    <col min="13605" max="13605" width="7.140625" customWidth="1"/>
    <col min="13847" max="13847" width="6.28515625" customWidth="1"/>
    <col min="13848" max="13848" width="5.140625" customWidth="1"/>
    <col min="13849" max="13849" width="8.5703125" customWidth="1"/>
    <col min="13850" max="13850" width="6.5703125" customWidth="1"/>
    <col min="13851" max="13851" width="7.28515625" customWidth="1"/>
    <col min="13852" max="13852" width="4.85546875" customWidth="1"/>
    <col min="13853" max="13853" width="5.85546875" customWidth="1"/>
    <col min="13854" max="13856" width="6.140625" customWidth="1"/>
    <col min="13857" max="13857" width="6.5703125" customWidth="1"/>
    <col min="13858" max="13858" width="6.7109375" customWidth="1"/>
    <col min="13859" max="13859" width="6.140625" customWidth="1"/>
    <col min="13860" max="13860" width="7.42578125" customWidth="1"/>
    <col min="13861" max="13861" width="7.140625" customWidth="1"/>
    <col min="14103" max="14103" width="6.28515625" customWidth="1"/>
    <col min="14104" max="14104" width="5.140625" customWidth="1"/>
    <col min="14105" max="14105" width="8.5703125" customWidth="1"/>
    <col min="14106" max="14106" width="6.5703125" customWidth="1"/>
    <col min="14107" max="14107" width="7.28515625" customWidth="1"/>
    <col min="14108" max="14108" width="4.85546875" customWidth="1"/>
    <col min="14109" max="14109" width="5.85546875" customWidth="1"/>
    <col min="14110" max="14112" width="6.140625" customWidth="1"/>
    <col min="14113" max="14113" width="6.5703125" customWidth="1"/>
    <col min="14114" max="14114" width="6.7109375" customWidth="1"/>
    <col min="14115" max="14115" width="6.140625" customWidth="1"/>
    <col min="14116" max="14116" width="7.42578125" customWidth="1"/>
    <col min="14117" max="14117" width="7.140625" customWidth="1"/>
    <col min="14359" max="14359" width="6.28515625" customWidth="1"/>
    <col min="14360" max="14360" width="5.140625" customWidth="1"/>
    <col min="14361" max="14361" width="8.5703125" customWidth="1"/>
    <col min="14362" max="14362" width="6.5703125" customWidth="1"/>
    <col min="14363" max="14363" width="7.28515625" customWidth="1"/>
    <col min="14364" max="14364" width="4.85546875" customWidth="1"/>
    <col min="14365" max="14365" width="5.85546875" customWidth="1"/>
    <col min="14366" max="14368" width="6.140625" customWidth="1"/>
    <col min="14369" max="14369" width="6.5703125" customWidth="1"/>
    <col min="14370" max="14370" width="6.7109375" customWidth="1"/>
    <col min="14371" max="14371" width="6.140625" customWidth="1"/>
    <col min="14372" max="14372" width="7.42578125" customWidth="1"/>
    <col min="14373" max="14373" width="7.140625" customWidth="1"/>
    <col min="14615" max="14615" width="6.28515625" customWidth="1"/>
    <col min="14616" max="14616" width="5.140625" customWidth="1"/>
    <col min="14617" max="14617" width="8.5703125" customWidth="1"/>
    <col min="14618" max="14618" width="6.5703125" customWidth="1"/>
    <col min="14619" max="14619" width="7.28515625" customWidth="1"/>
    <col min="14620" max="14620" width="4.85546875" customWidth="1"/>
    <col min="14621" max="14621" width="5.85546875" customWidth="1"/>
    <col min="14622" max="14624" width="6.140625" customWidth="1"/>
    <col min="14625" max="14625" width="6.5703125" customWidth="1"/>
    <col min="14626" max="14626" width="6.7109375" customWidth="1"/>
    <col min="14627" max="14627" width="6.140625" customWidth="1"/>
    <col min="14628" max="14628" width="7.42578125" customWidth="1"/>
    <col min="14629" max="14629" width="7.140625" customWidth="1"/>
    <col min="14871" max="14871" width="6.28515625" customWidth="1"/>
    <col min="14872" max="14872" width="5.140625" customWidth="1"/>
    <col min="14873" max="14873" width="8.5703125" customWidth="1"/>
    <col min="14874" max="14874" width="6.5703125" customWidth="1"/>
    <col min="14875" max="14875" width="7.28515625" customWidth="1"/>
    <col min="14876" max="14876" width="4.85546875" customWidth="1"/>
    <col min="14877" max="14877" width="5.85546875" customWidth="1"/>
    <col min="14878" max="14880" width="6.140625" customWidth="1"/>
    <col min="14881" max="14881" width="6.5703125" customWidth="1"/>
    <col min="14882" max="14882" width="6.7109375" customWidth="1"/>
    <col min="14883" max="14883" width="6.140625" customWidth="1"/>
    <col min="14884" max="14884" width="7.42578125" customWidth="1"/>
    <col min="14885" max="14885" width="7.140625" customWidth="1"/>
    <col min="15127" max="15127" width="6.28515625" customWidth="1"/>
    <col min="15128" max="15128" width="5.140625" customWidth="1"/>
    <col min="15129" max="15129" width="8.5703125" customWidth="1"/>
    <col min="15130" max="15130" width="6.5703125" customWidth="1"/>
    <col min="15131" max="15131" width="7.28515625" customWidth="1"/>
    <col min="15132" max="15132" width="4.85546875" customWidth="1"/>
    <col min="15133" max="15133" width="5.85546875" customWidth="1"/>
    <col min="15134" max="15136" width="6.140625" customWidth="1"/>
    <col min="15137" max="15137" width="6.5703125" customWidth="1"/>
    <col min="15138" max="15138" width="6.7109375" customWidth="1"/>
    <col min="15139" max="15139" width="6.140625" customWidth="1"/>
    <col min="15140" max="15140" width="7.42578125" customWidth="1"/>
    <col min="15141" max="15141" width="7.140625" customWidth="1"/>
    <col min="15383" max="15383" width="6.28515625" customWidth="1"/>
    <col min="15384" max="15384" width="5.140625" customWidth="1"/>
    <col min="15385" max="15385" width="8.5703125" customWidth="1"/>
    <col min="15386" max="15386" width="6.5703125" customWidth="1"/>
    <col min="15387" max="15387" width="7.28515625" customWidth="1"/>
    <col min="15388" max="15388" width="4.85546875" customWidth="1"/>
    <col min="15389" max="15389" width="5.85546875" customWidth="1"/>
    <col min="15390" max="15392" width="6.140625" customWidth="1"/>
    <col min="15393" max="15393" width="6.5703125" customWidth="1"/>
    <col min="15394" max="15394" width="6.7109375" customWidth="1"/>
    <col min="15395" max="15395" width="6.140625" customWidth="1"/>
    <col min="15396" max="15396" width="7.42578125" customWidth="1"/>
    <col min="15397" max="15397" width="7.140625" customWidth="1"/>
    <col min="15639" max="15639" width="6.28515625" customWidth="1"/>
    <col min="15640" max="15640" width="5.140625" customWidth="1"/>
    <col min="15641" max="15641" width="8.5703125" customWidth="1"/>
    <col min="15642" max="15642" width="6.5703125" customWidth="1"/>
    <col min="15643" max="15643" width="7.28515625" customWidth="1"/>
    <col min="15644" max="15644" width="4.85546875" customWidth="1"/>
    <col min="15645" max="15645" width="5.85546875" customWidth="1"/>
    <col min="15646" max="15648" width="6.140625" customWidth="1"/>
    <col min="15649" max="15649" width="6.5703125" customWidth="1"/>
    <col min="15650" max="15650" width="6.7109375" customWidth="1"/>
    <col min="15651" max="15651" width="6.140625" customWidth="1"/>
    <col min="15652" max="15652" width="7.42578125" customWidth="1"/>
    <col min="15653" max="15653" width="7.140625" customWidth="1"/>
    <col min="15895" max="15895" width="6.28515625" customWidth="1"/>
    <col min="15896" max="15896" width="5.140625" customWidth="1"/>
    <col min="15897" max="15897" width="8.5703125" customWidth="1"/>
    <col min="15898" max="15898" width="6.5703125" customWidth="1"/>
    <col min="15899" max="15899" width="7.28515625" customWidth="1"/>
    <col min="15900" max="15900" width="4.85546875" customWidth="1"/>
    <col min="15901" max="15901" width="5.85546875" customWidth="1"/>
    <col min="15902" max="15904" width="6.140625" customWidth="1"/>
    <col min="15905" max="15905" width="6.5703125" customWidth="1"/>
    <col min="15906" max="15906" width="6.7109375" customWidth="1"/>
    <col min="15907" max="15907" width="6.140625" customWidth="1"/>
    <col min="15908" max="15908" width="7.42578125" customWidth="1"/>
    <col min="15909" max="15909" width="7.140625" customWidth="1"/>
    <col min="16151" max="16151" width="6.28515625" customWidth="1"/>
    <col min="16152" max="16152" width="5.140625" customWidth="1"/>
    <col min="16153" max="16153" width="8.5703125" customWidth="1"/>
    <col min="16154" max="16154" width="6.5703125" customWidth="1"/>
    <col min="16155" max="16155" width="7.28515625" customWidth="1"/>
    <col min="16156" max="16156" width="4.85546875" customWidth="1"/>
    <col min="16157" max="16157" width="5.85546875" customWidth="1"/>
    <col min="16158" max="16160" width="6.140625" customWidth="1"/>
    <col min="16161" max="16161" width="6.5703125" customWidth="1"/>
    <col min="16162" max="16162" width="6.7109375" customWidth="1"/>
    <col min="16163" max="16163" width="6.140625" customWidth="1"/>
    <col min="16164" max="16164" width="7.42578125" customWidth="1"/>
    <col min="16165" max="16165" width="7.140625" customWidth="1"/>
  </cols>
  <sheetData>
    <row r="1" spans="1:54" ht="67.5" customHeight="1" x14ac:dyDescent="0.3">
      <c r="I1" s="426" t="s">
        <v>499</v>
      </c>
      <c r="J1" s="426"/>
      <c r="K1" s="426"/>
      <c r="L1" s="426"/>
      <c r="M1" s="426"/>
      <c r="N1" s="426"/>
      <c r="O1" s="426"/>
      <c r="Z1" s="225"/>
      <c r="AA1" s="225"/>
      <c r="AB1" s="287" t="str">
        <f>"Kurzy ČNB jsou aktualizovány k "&amp;TEXT(MAX('Kurzy CNB'!$A$2:$A$531),"dd.mm.rrrr")</f>
        <v>Kurzy ČNB jsou aktualizovány k 24.08.2022</v>
      </c>
      <c r="AC1" s="225"/>
      <c r="AI1">
        <f>60*60*24</f>
        <v>86400</v>
      </c>
      <c r="AK1" s="286"/>
      <c r="AL1" s="286"/>
      <c r="AN1"/>
      <c r="AO1"/>
      <c r="AT1" s="424" t="str">
        <f>IFERROR("Vyúčtování pracovní cesty a zprávu o pracovní cestě je nutné odevzdat nejpozději do " &amp;TEXT(List1!$AC$1,"dd.mm.rrrr")&amp;".","")</f>
        <v>Vyúčtování pracovní cesty a zprávu o pracovní cestě je nutné odevzdat nejpozději do 24.06.2022.</v>
      </c>
      <c r="AU1" s="424"/>
      <c r="AV1" s="424"/>
      <c r="AW1" s="424"/>
      <c r="AX1" s="424"/>
      <c r="AY1" s="285"/>
      <c r="AZ1" s="285"/>
      <c r="BA1" s="285"/>
      <c r="BB1" s="285"/>
    </row>
    <row r="2" spans="1:54" ht="23.25" customHeight="1" x14ac:dyDescent="0.3">
      <c r="B2" s="430" t="s">
        <v>440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200"/>
      <c r="Q2" s="200"/>
      <c r="R2" s="200"/>
      <c r="S2" s="200"/>
      <c r="T2" s="200"/>
      <c r="U2" s="200"/>
      <c r="V2" s="200"/>
      <c r="W2" s="200"/>
      <c r="X2" s="248"/>
      <c r="Y2" s="200"/>
      <c r="Z2" s="200"/>
      <c r="AA2" s="200"/>
      <c r="AC2" s="200"/>
      <c r="AD2" s="200"/>
      <c r="AE2" s="201"/>
      <c r="AF2" s="41"/>
      <c r="AG2" s="41"/>
      <c r="AH2" s="41"/>
      <c r="AI2" s="41"/>
      <c r="AJ2" s="41"/>
      <c r="AN2"/>
      <c r="AO2"/>
      <c r="AT2" s="285"/>
      <c r="AU2" s="285"/>
      <c r="AV2" s="285"/>
      <c r="AW2" s="285"/>
      <c r="AX2" s="285"/>
      <c r="AY2" s="285"/>
      <c r="AZ2" s="285"/>
      <c r="BA2" s="285"/>
      <c r="BB2" s="285"/>
    </row>
    <row r="3" spans="1:54" ht="14.25" customHeight="1" x14ac:dyDescent="0.3">
      <c r="B3" s="436" t="s">
        <v>441</v>
      </c>
      <c r="C3" s="437"/>
      <c r="D3" s="438"/>
      <c r="E3" s="439" t="str">
        <f>T(Příkaz!D4)</f>
        <v/>
      </c>
      <c r="F3" s="440"/>
      <c r="G3" s="440"/>
      <c r="H3" s="440"/>
      <c r="I3" s="440"/>
      <c r="J3" s="440"/>
      <c r="K3" s="441"/>
      <c r="L3" s="269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204"/>
      <c r="Y3" s="144"/>
      <c r="Z3" s="144"/>
      <c r="AA3" s="144"/>
      <c r="AB3" s="144"/>
      <c r="AC3" s="144"/>
      <c r="AD3" s="144"/>
      <c r="AE3" s="3"/>
      <c r="AF3" s="51"/>
      <c r="AG3" s="51"/>
      <c r="AH3" s="51"/>
      <c r="AI3" s="51"/>
      <c r="AJ3" s="51"/>
      <c r="AL3" s="25"/>
      <c r="AM3" s="25"/>
      <c r="AN3"/>
      <c r="AO3"/>
      <c r="AT3" s="285"/>
      <c r="AU3" s="285"/>
      <c r="AV3" s="285"/>
      <c r="AW3" s="285"/>
      <c r="AX3" s="285"/>
      <c r="AY3" s="285"/>
      <c r="AZ3" s="285"/>
      <c r="BA3" s="285"/>
      <c r="BB3" s="285"/>
    </row>
    <row r="4" spans="1:54" ht="14.25" customHeight="1" x14ac:dyDescent="0.3">
      <c r="B4" s="436" t="s">
        <v>496</v>
      </c>
      <c r="C4" s="437"/>
      <c r="D4" s="438"/>
      <c r="E4" s="439" t="str">
        <f>T(Příkaz!D10)</f>
        <v/>
      </c>
      <c r="F4" s="440"/>
      <c r="G4" s="440"/>
      <c r="H4" s="440"/>
      <c r="I4" s="440"/>
      <c r="J4" s="440"/>
      <c r="K4" s="441"/>
      <c r="L4" s="269"/>
      <c r="M4" s="144"/>
      <c r="N4" s="431" t="s">
        <v>228</v>
      </c>
      <c r="O4" s="432"/>
      <c r="P4" s="144"/>
      <c r="Q4" s="144"/>
      <c r="R4" s="144"/>
      <c r="S4" s="144"/>
      <c r="T4" s="144"/>
      <c r="U4" s="144"/>
      <c r="V4" s="144"/>
      <c r="W4" s="144"/>
      <c r="X4" s="204"/>
      <c r="Y4" s="144"/>
      <c r="Z4" s="144"/>
      <c r="AA4" s="144"/>
      <c r="AB4" s="144"/>
      <c r="AC4" s="144"/>
      <c r="AD4" s="144"/>
      <c r="AE4" s="3"/>
      <c r="AF4" s="52"/>
      <c r="AG4" s="52"/>
      <c r="AH4" s="52"/>
      <c r="AI4" s="52"/>
      <c r="AJ4" s="52"/>
      <c r="AK4" s="234" t="s">
        <v>31</v>
      </c>
      <c r="AL4" s="117"/>
      <c r="AT4" s="285"/>
      <c r="AU4" s="285"/>
      <c r="AV4" s="285"/>
      <c r="AW4" s="285"/>
      <c r="AX4" s="285"/>
      <c r="AY4" s="285"/>
      <c r="AZ4" s="285"/>
      <c r="BA4" s="285"/>
      <c r="BB4" s="285"/>
    </row>
    <row r="5" spans="1:54" ht="14.25" customHeight="1" x14ac:dyDescent="0.3">
      <c r="A5" s="24"/>
      <c r="B5" s="436" t="s">
        <v>495</v>
      </c>
      <c r="C5" s="437"/>
      <c r="D5" s="438"/>
      <c r="E5" s="439" t="str">
        <f>T(Příkaz!D8)</f>
        <v/>
      </c>
      <c r="F5" s="440"/>
      <c r="G5" s="440"/>
      <c r="H5" s="440"/>
      <c r="I5" s="440"/>
      <c r="J5" s="440"/>
      <c r="K5" s="441"/>
      <c r="L5" s="269"/>
      <c r="N5" s="434" t="s">
        <v>328</v>
      </c>
      <c r="O5" s="435"/>
      <c r="X5" s="27"/>
      <c r="AD5" s="144"/>
      <c r="AE5" s="202"/>
      <c r="AF5" s="466"/>
      <c r="AG5" s="466"/>
      <c r="AH5" s="61"/>
      <c r="AI5" s="60"/>
      <c r="AJ5" s="43"/>
      <c r="AK5" s="117" t="s">
        <v>76</v>
      </c>
      <c r="AL5" s="235"/>
      <c r="AT5" s="285"/>
      <c r="AU5" s="285"/>
      <c r="AV5" s="285"/>
      <c r="AW5" s="285"/>
      <c r="AX5" s="285"/>
      <c r="AY5" s="285"/>
      <c r="AZ5" s="285"/>
      <c r="BA5" s="285"/>
      <c r="BB5" s="285"/>
    </row>
    <row r="6" spans="1:54" ht="14.25" customHeight="1" x14ac:dyDescent="0.25">
      <c r="A6" s="55"/>
      <c r="B6" s="145"/>
      <c r="C6" s="126"/>
      <c r="D6" s="126"/>
      <c r="E6" s="155" t="s">
        <v>218</v>
      </c>
      <c r="F6" s="156" t="s">
        <v>215</v>
      </c>
      <c r="G6" s="526" t="s">
        <v>219</v>
      </c>
      <c r="H6" s="526"/>
      <c r="I6" s="526"/>
      <c r="J6" s="526"/>
      <c r="K6" s="526"/>
      <c r="L6" s="145"/>
      <c r="M6" s="144"/>
      <c r="N6" s="443" t="s">
        <v>382</v>
      </c>
      <c r="O6" s="444"/>
      <c r="P6" s="144"/>
      <c r="Q6" s="144"/>
      <c r="R6" s="144"/>
      <c r="S6" s="144"/>
      <c r="T6" s="144"/>
      <c r="U6" s="144"/>
      <c r="V6" s="144"/>
      <c r="W6" s="144"/>
      <c r="X6" s="204"/>
      <c r="Y6" s="144"/>
      <c r="Z6" s="144"/>
      <c r="AA6" s="144"/>
      <c r="AB6" s="144"/>
      <c r="AC6" s="144"/>
      <c r="AD6" s="144"/>
      <c r="AE6" s="202"/>
      <c r="AF6" s="466"/>
      <c r="AG6" s="466"/>
      <c r="AH6" s="61"/>
      <c r="AI6" s="60"/>
      <c r="AJ6" s="43"/>
      <c r="AK6" s="117" t="s">
        <v>44</v>
      </c>
      <c r="AL6" s="239" t="s">
        <v>35</v>
      </c>
      <c r="AM6" s="25"/>
      <c r="AP6" s="6">
        <f>AP8</f>
        <v>0</v>
      </c>
    </row>
    <row r="7" spans="1:54" ht="14.25" customHeight="1" x14ac:dyDescent="0.25">
      <c r="B7" s="433" t="s">
        <v>142</v>
      </c>
      <c r="C7" s="433"/>
      <c r="D7" s="433"/>
      <c r="E7" s="255">
        <v>44566</v>
      </c>
      <c r="F7" s="256">
        <v>0.5</v>
      </c>
      <c r="G7" s="442"/>
      <c r="H7" s="442"/>
      <c r="I7" s="442"/>
      <c r="J7" s="442"/>
      <c r="K7" s="442"/>
      <c r="L7" s="281"/>
      <c r="M7" s="147"/>
      <c r="N7" s="445"/>
      <c r="O7" s="446"/>
      <c r="P7" s="148"/>
      <c r="Q7" s="148"/>
      <c r="R7" s="148"/>
      <c r="S7" s="222">
        <f>E7+F7</f>
        <v>44566.5</v>
      </c>
      <c r="T7" s="222"/>
      <c r="U7" s="184"/>
      <c r="X7" s="27"/>
      <c r="AA7" s="425" t="s">
        <v>501</v>
      </c>
      <c r="AB7" s="425"/>
      <c r="AC7" s="425"/>
      <c r="AD7" s="149"/>
      <c r="AE7" s="202"/>
      <c r="AF7" s="466"/>
      <c r="AG7" s="466"/>
      <c r="AH7" s="61"/>
      <c r="AI7" s="60"/>
      <c r="AJ7" s="42"/>
      <c r="AK7" s="117" t="s">
        <v>27</v>
      </c>
      <c r="AL7" s="235">
        <v>4</v>
      </c>
      <c r="AM7" s="114" t="s">
        <v>111</v>
      </c>
    </row>
    <row r="8" spans="1:54" ht="14.25" customHeight="1" x14ac:dyDescent="0.25">
      <c r="B8" s="433" t="s">
        <v>216</v>
      </c>
      <c r="C8" s="433"/>
      <c r="D8" s="433"/>
      <c r="E8" s="255">
        <v>44566</v>
      </c>
      <c r="F8" s="256">
        <v>0.5</v>
      </c>
      <c r="G8" s="463" t="str">
        <f>IF(S8&lt;S7,"překročení hranice nemůže být před začátkem cesty","")</f>
        <v/>
      </c>
      <c r="H8" s="464"/>
      <c r="I8" s="464"/>
      <c r="J8" s="464"/>
      <c r="K8" s="464"/>
      <c r="L8" s="258"/>
      <c r="M8" s="147"/>
      <c r="N8" s="153">
        <f>VLOOKUP(N5,List1!V3:Y180,4,FALSE)</f>
        <v>45</v>
      </c>
      <c r="O8" s="231" t="str">
        <f>VLOOKUP(N5,List1!V3:Y180,2,FALSE)</f>
        <v>EUR</v>
      </c>
      <c r="P8" s="148"/>
      <c r="Q8" s="148"/>
      <c r="R8" s="148"/>
      <c r="S8" s="222">
        <f>E8+F8</f>
        <v>44566.5</v>
      </c>
      <c r="T8" s="222"/>
      <c r="U8" s="184"/>
      <c r="X8" s="27"/>
      <c r="AA8" s="425"/>
      <c r="AB8" s="425"/>
      <c r="AC8" s="425"/>
      <c r="AD8" s="149"/>
      <c r="AE8" s="202"/>
      <c r="AF8" s="466"/>
      <c r="AG8" s="466"/>
      <c r="AH8" s="61"/>
      <c r="AI8" s="60"/>
      <c r="AJ8" s="43"/>
      <c r="AK8" s="117" t="s">
        <v>28</v>
      </c>
      <c r="AL8" s="235"/>
      <c r="AM8" s="489" t="s">
        <v>426</v>
      </c>
      <c r="AN8" s="490"/>
      <c r="AO8" s="490"/>
      <c r="AP8" s="490"/>
      <c r="AQ8" s="490"/>
      <c r="AR8" s="490"/>
      <c r="AS8" s="490"/>
      <c r="AT8" s="490"/>
      <c r="AU8" s="490"/>
      <c r="AV8" s="490"/>
      <c r="AW8" s="490"/>
      <c r="AX8" s="490"/>
      <c r="AY8" s="490"/>
    </row>
    <row r="9" spans="1:54" ht="14.25" customHeight="1" x14ac:dyDescent="0.25">
      <c r="B9" s="433" t="s">
        <v>217</v>
      </c>
      <c r="C9" s="433"/>
      <c r="D9" s="433"/>
      <c r="E9" s="255">
        <v>44567</v>
      </c>
      <c r="F9" s="256">
        <v>0.54166666666666663</v>
      </c>
      <c r="G9" s="463" t="str">
        <f>IF(OR(E7&gt;MAX('Kurzy CNB'!A2:A531),E16&gt;MAX('Kurzy CNB'!A2:A531)),"Začátek cesty nebo datum zálohy je v období mimo načtené kurzy ČNB","")</f>
        <v/>
      </c>
      <c r="H9" s="464"/>
      <c r="I9" s="464"/>
      <c r="J9" s="464"/>
      <c r="K9" s="464"/>
      <c r="L9" s="464"/>
      <c r="M9" s="465"/>
      <c r="N9" s="448" t="s">
        <v>436</v>
      </c>
      <c r="O9" s="449"/>
      <c r="P9" s="148"/>
      <c r="Q9" s="148"/>
      <c r="R9" s="148"/>
      <c r="S9" s="468">
        <f>E9+F9</f>
        <v>44567.541666666664</v>
      </c>
      <c r="T9" s="468"/>
      <c r="U9" s="184"/>
      <c r="V9" s="184"/>
      <c r="W9" s="184"/>
      <c r="X9" s="205"/>
      <c r="Y9" s="184"/>
      <c r="Z9" s="184"/>
      <c r="AA9" s="425"/>
      <c r="AB9" s="425"/>
      <c r="AC9" s="425"/>
      <c r="AD9" s="149"/>
      <c r="AE9" s="202"/>
      <c r="AJ9" s="53"/>
      <c r="AK9" s="117" t="s">
        <v>29</v>
      </c>
      <c r="AL9" s="235"/>
      <c r="AM9" s="489"/>
      <c r="AN9" s="490"/>
      <c r="AO9" s="490"/>
      <c r="AP9" s="490"/>
      <c r="AQ9" s="490"/>
      <c r="AR9" s="490"/>
      <c r="AS9" s="490"/>
      <c r="AT9" s="490"/>
      <c r="AU9" s="490"/>
      <c r="AV9" s="490"/>
      <c r="AW9" s="490"/>
      <c r="AX9" s="490"/>
      <c r="AY9" s="490"/>
    </row>
    <row r="10" spans="1:54" ht="14.25" customHeight="1" x14ac:dyDescent="0.25">
      <c r="B10" s="433" t="s">
        <v>145</v>
      </c>
      <c r="C10" s="433"/>
      <c r="D10" s="433"/>
      <c r="E10" s="255">
        <v>44567</v>
      </c>
      <c r="F10" s="256">
        <v>0.54166666666666663</v>
      </c>
      <c r="G10" s="467"/>
      <c r="H10" s="467"/>
      <c r="I10" s="467"/>
      <c r="J10" s="467"/>
      <c r="K10" s="467"/>
      <c r="L10" s="282"/>
      <c r="M10" s="147"/>
      <c r="N10" s="447">
        <f>IF(AND(E16&lt;&gt;"",E14&lt;&gt;"NE",OR(F16&lt;&gt;"",F17&lt;&gt;"")),E16,E7)</f>
        <v>44566</v>
      </c>
      <c r="O10" s="447"/>
      <c r="P10" s="148"/>
      <c r="Q10" s="148"/>
      <c r="R10" s="148"/>
      <c r="S10" s="468">
        <f>E10+F10</f>
        <v>44567.541666666664</v>
      </c>
      <c r="T10" s="468"/>
      <c r="U10" s="184"/>
      <c r="V10" s="184"/>
      <c r="W10" s="184"/>
      <c r="X10" s="205"/>
      <c r="Y10" s="184"/>
      <c r="Z10" s="184"/>
      <c r="AA10" s="425"/>
      <c r="AB10" s="425"/>
      <c r="AC10" s="425"/>
      <c r="AD10" s="149"/>
      <c r="AE10" s="202"/>
      <c r="AJ10" s="54"/>
      <c r="AK10" s="117" t="s">
        <v>30</v>
      </c>
      <c r="AL10" s="235"/>
      <c r="AM10" s="489"/>
      <c r="AN10" s="490"/>
      <c r="AO10" s="490"/>
      <c r="AP10" s="490"/>
      <c r="AQ10" s="490"/>
      <c r="AR10" s="490"/>
      <c r="AS10" s="490"/>
      <c r="AT10" s="490"/>
      <c r="AU10" s="490"/>
      <c r="AV10" s="490"/>
      <c r="AW10" s="490"/>
      <c r="AX10" s="490"/>
      <c r="AY10" s="490"/>
    </row>
    <row r="11" spans="1:54" ht="14.25" customHeight="1" x14ac:dyDescent="0.25">
      <c r="B11" s="433" t="s">
        <v>67</v>
      </c>
      <c r="C11" s="433"/>
      <c r="D11" s="433"/>
      <c r="E11" s="151" t="s">
        <v>0</v>
      </c>
      <c r="F11" s="152"/>
      <c r="G11" s="215" t="s">
        <v>437</v>
      </c>
      <c r="H11" s="216"/>
      <c r="I11" s="217"/>
      <c r="J11" s="218"/>
      <c r="K11" s="493" t="s">
        <v>492</v>
      </c>
      <c r="L11" s="493"/>
      <c r="M11" s="493"/>
      <c r="N11" s="493"/>
      <c r="O11" s="493"/>
      <c r="P11" s="148"/>
      <c r="Q11" s="148"/>
      <c r="R11" s="148"/>
      <c r="S11" s="148"/>
      <c r="T11" s="148"/>
      <c r="U11" s="148"/>
      <c r="V11" s="148"/>
      <c r="W11" s="148"/>
      <c r="X11" s="206"/>
      <c r="Y11" s="148"/>
      <c r="Z11" s="148"/>
      <c r="AA11" s="275" t="s">
        <v>491</v>
      </c>
      <c r="AB11" s="275" t="s">
        <v>502</v>
      </c>
      <c r="AC11" s="275" t="s">
        <v>490</v>
      </c>
      <c r="AD11" s="149"/>
      <c r="AE11" s="202"/>
      <c r="AJ11" s="55"/>
      <c r="AK11" s="234" t="s">
        <v>114</v>
      </c>
      <c r="AL11" s="236">
        <f>ROUND(AVERAGE(AL7:AL10),2)</f>
        <v>4</v>
      </c>
      <c r="AM11" s="25"/>
      <c r="AO11" s="25"/>
      <c r="AP11" s="25" t="s">
        <v>56</v>
      </c>
      <c r="AQ11" s="25" t="s">
        <v>32</v>
      </c>
      <c r="AR11" s="25" t="s">
        <v>34</v>
      </c>
      <c r="AS11" s="25" t="s">
        <v>33</v>
      </c>
    </row>
    <row r="12" spans="1:54" ht="14.25" customHeight="1" x14ac:dyDescent="0.25">
      <c r="B12" s="433" t="s">
        <v>454</v>
      </c>
      <c r="C12" s="433"/>
      <c r="D12" s="433"/>
      <c r="E12" s="146" t="s">
        <v>22</v>
      </c>
      <c r="F12" s="141"/>
      <c r="G12" s="232"/>
      <c r="H12" s="495" t="str">
        <f>IF(E12="VV",CEILING(G12*$AL$16+G12*$AL$21,0.01),"")</f>
        <v/>
      </c>
      <c r="I12" s="495"/>
      <c r="K12" s="273" t="s">
        <v>498</v>
      </c>
      <c r="L12" s="272"/>
      <c r="M12" s="164" t="s">
        <v>153</v>
      </c>
      <c r="N12" s="197"/>
      <c r="O12" s="276">
        <f>IF(N12&lt;&gt;"",IF(M12&lt;&gt;"",(IF(M12="CZK",1,VLOOKUP($N$10,'Kurzy CNB'!$A$1:$AH$227,VLOOKUP(M12,List1!$S$4:$T$36,2,FALSE),TRUE)))*N12/VLOOKUP(M12,List1!$S$3:$U$36,3,FALSE),0),0)</f>
        <v>0</v>
      </c>
      <c r="R12" s="148"/>
      <c r="S12" s="148"/>
      <c r="T12" s="148"/>
      <c r="U12" s="148"/>
      <c r="V12" s="148"/>
      <c r="W12" s="148"/>
      <c r="X12" s="206"/>
      <c r="Y12" s="148"/>
      <c r="Z12" s="148"/>
      <c r="AA12" s="276">
        <f>SUM(I25:I26)</f>
        <v>0</v>
      </c>
      <c r="AB12" s="276">
        <f>O12</f>
        <v>0</v>
      </c>
      <c r="AC12" s="276">
        <f>IF((AA12-AB12)&lt;0,0,AA12-AB12)</f>
        <v>0</v>
      </c>
      <c r="AJ12" s="56"/>
      <c r="AK12" s="117" t="s">
        <v>46</v>
      </c>
      <c r="AL12" s="237">
        <v>1</v>
      </c>
      <c r="AM12" s="164" t="s">
        <v>153</v>
      </c>
      <c r="AO12" s="25" t="s">
        <v>42</v>
      </c>
      <c r="AP12" s="25">
        <v>0</v>
      </c>
      <c r="AQ12" s="169" t="s">
        <v>39</v>
      </c>
      <c r="AR12" s="169" t="s">
        <v>40</v>
      </c>
      <c r="AS12" s="169" t="s">
        <v>41</v>
      </c>
    </row>
    <row r="13" spans="1:54" ht="14.25" customHeight="1" x14ac:dyDescent="0.25">
      <c r="G13" s="215"/>
      <c r="H13" s="216"/>
      <c r="I13" s="217"/>
      <c r="J13" s="218"/>
      <c r="K13" s="273" t="s">
        <v>489</v>
      </c>
      <c r="L13" s="272"/>
      <c r="M13" s="164" t="s">
        <v>153</v>
      </c>
      <c r="N13" s="197"/>
      <c r="O13" s="276">
        <f>IF(N13&lt;&gt;"",IF(M13&lt;&gt;"",(IF(M13="CZK",1,VLOOKUP($N$10,'Kurzy CNB'!$A$1:$AH$227,VLOOKUP(M13,List1!$S$4:$T$36,2,FALSE),TRUE)))*N13/VLOOKUP(M13,List1!$S$3:$U$36,3,FALSE),0),0)</f>
        <v>0</v>
      </c>
      <c r="R13" s="148"/>
      <c r="U13" s="148"/>
      <c r="V13" s="148"/>
      <c r="W13" s="148"/>
      <c r="X13" s="206"/>
      <c r="Y13" s="148"/>
      <c r="Z13" s="148"/>
      <c r="AA13" s="276">
        <f>SUM(I21:I24)</f>
        <v>0</v>
      </c>
      <c r="AB13" s="276">
        <f t="shared" ref="AB13:AB14" si="0">O13</f>
        <v>0</v>
      </c>
      <c r="AC13" s="276">
        <f t="shared" ref="AC13:AC14" si="1">IF((AA13-AB13)&lt;0,0,AA13-AB13)</f>
        <v>0</v>
      </c>
      <c r="AJ13" s="42"/>
      <c r="AK13" s="117" t="s">
        <v>439</v>
      </c>
      <c r="AL13" s="233">
        <f>CEILING(IF(AL12&lt;&gt;"",IF(AM12&lt;&gt;"",(IF(AM12="CZK",1,VLOOKUP($N$10,'Kurzy CNB'!$A$1:$AH$227,VLOOKUP(AM12,List1!$S$4:$T$36,2,FALSE),TRUE)))*AL12/VLOOKUP(AM12,List1!$S$3:$U$36,3,FALSE),0),0),0.0001)</f>
        <v>24.580000000000002</v>
      </c>
      <c r="AO13" s="25">
        <v>0</v>
      </c>
      <c r="AP13" s="174">
        <v>0</v>
      </c>
      <c r="AQ13" s="175">
        <v>129</v>
      </c>
      <c r="AR13" s="175">
        <v>190</v>
      </c>
      <c r="AS13" s="175">
        <v>293</v>
      </c>
    </row>
    <row r="14" spans="1:54" ht="14.25" customHeight="1" x14ac:dyDescent="0.25">
      <c r="B14" s="486" t="s">
        <v>221</v>
      </c>
      <c r="C14" s="487"/>
      <c r="D14" s="488"/>
      <c r="E14" s="151" t="s">
        <v>1</v>
      </c>
      <c r="F14" s="152"/>
      <c r="G14" s="214" t="s">
        <v>225</v>
      </c>
      <c r="H14" s="214" t="s">
        <v>226</v>
      </c>
      <c r="I14" s="214" t="s">
        <v>227</v>
      </c>
      <c r="J14" s="214"/>
      <c r="K14" s="273" t="s">
        <v>493</v>
      </c>
      <c r="L14" s="272"/>
      <c r="M14" s="164" t="s">
        <v>153</v>
      </c>
      <c r="N14" s="197"/>
      <c r="O14" s="276">
        <f>IF(N14&lt;&gt;"",IF(M14&lt;&gt;"",(IF(M14="CZK",1,VLOOKUP($N$10,'Kurzy CNB'!$A$1:$AH$227,VLOOKUP(M14,List1!$S$4:$T$36,2,FALSE),TRUE)))*N14/VLOOKUP(M14,List1!$S$3:$U$36,3,FALSE),0),0)</f>
        <v>0</v>
      </c>
      <c r="R14" s="148"/>
      <c r="U14" s="148"/>
      <c r="V14" s="148"/>
      <c r="W14" s="148"/>
      <c r="X14" s="206"/>
      <c r="Y14" s="148"/>
      <c r="Z14" s="148"/>
      <c r="AA14" s="276">
        <f>SUM(I27:I28)</f>
        <v>0</v>
      </c>
      <c r="AB14" s="276">
        <f t="shared" si="0"/>
        <v>0</v>
      </c>
      <c r="AC14" s="276">
        <f t="shared" si="1"/>
        <v>0</v>
      </c>
      <c r="AJ14" s="40"/>
      <c r="AK14" s="234" t="s">
        <v>38</v>
      </c>
      <c r="AL14" s="117"/>
      <c r="AM14" s="25"/>
      <c r="AO14" s="25">
        <v>1</v>
      </c>
      <c r="AP14" s="25">
        <v>0</v>
      </c>
      <c r="AQ14" s="160">
        <f>AQ13*0.3</f>
        <v>38.699999999999996</v>
      </c>
      <c r="AR14" s="160">
        <f>0.65*AR13</f>
        <v>123.5</v>
      </c>
      <c r="AS14" s="160">
        <f>0.75*AS13</f>
        <v>219.75</v>
      </c>
    </row>
    <row r="15" spans="1:54" ht="3.75" customHeight="1" x14ac:dyDescent="0.25">
      <c r="F15" s="152"/>
      <c r="G15" s="214"/>
      <c r="H15" s="214"/>
      <c r="I15" s="214"/>
      <c r="J15" s="214"/>
      <c r="K15" s="214"/>
      <c r="L15" s="214"/>
      <c r="M15" s="267"/>
      <c r="N15" s="266"/>
      <c r="O15" s="268"/>
      <c r="R15" s="148"/>
      <c r="U15" s="148"/>
      <c r="V15" s="148"/>
      <c r="W15" s="148"/>
      <c r="X15" s="206"/>
      <c r="Y15" s="148"/>
      <c r="Z15" s="148"/>
      <c r="AA15" s="265"/>
      <c r="AB15" s="265"/>
      <c r="AC15" s="274"/>
      <c r="AJ15" s="40"/>
      <c r="AK15" s="234"/>
      <c r="AL15" s="117"/>
      <c r="AM15" s="25"/>
      <c r="AO15" s="25"/>
      <c r="AP15" s="25"/>
      <c r="AQ15" s="160"/>
      <c r="AR15" s="160"/>
      <c r="AS15" s="160"/>
    </row>
    <row r="16" spans="1:54" ht="14.25" customHeight="1" x14ac:dyDescent="0.25">
      <c r="B16" s="436" t="s">
        <v>223</v>
      </c>
      <c r="C16" s="438"/>
      <c r="D16" s="154" t="s">
        <v>224</v>
      </c>
      <c r="E16" s="255">
        <v>44564</v>
      </c>
      <c r="F16" s="491">
        <v>0</v>
      </c>
      <c r="G16" s="492"/>
      <c r="H16" s="164" t="s">
        <v>154</v>
      </c>
      <c r="I16" s="163">
        <f>IF(OR(E16="",H16="CZK"),1,VLOOKUP(E16,'Kurzy CNB'!$A$1:$AH$227,VLOOKUP(H16,List1!$S$4:$T$36,2,FALSE),TRUE))</f>
        <v>21.86</v>
      </c>
      <c r="J16" s="500">
        <f>CEILING(I16*F16,0.001)</f>
        <v>0</v>
      </c>
      <c r="K16" s="501"/>
      <c r="L16" s="271"/>
      <c r="M16" s="494" t="s">
        <v>494</v>
      </c>
      <c r="N16" s="494"/>
      <c r="O16" s="494"/>
      <c r="R16" s="165"/>
      <c r="U16" s="165"/>
      <c r="V16" s="165"/>
      <c r="W16" s="165"/>
      <c r="X16" s="207"/>
      <c r="Y16" s="165"/>
      <c r="Z16" s="165"/>
      <c r="AA16" s="283"/>
      <c r="AB16" s="283"/>
      <c r="AC16" s="283"/>
      <c r="AF16" s="159"/>
      <c r="AG16" s="160"/>
      <c r="AJ16" s="56"/>
      <c r="AK16" s="117" t="s">
        <v>45</v>
      </c>
      <c r="AL16" s="163">
        <v>4.7</v>
      </c>
      <c r="AM16" s="72"/>
      <c r="AO16" s="25">
        <v>2</v>
      </c>
      <c r="AP16" s="25">
        <v>0</v>
      </c>
      <c r="AQ16" s="179">
        <v>0</v>
      </c>
      <c r="AR16" s="160">
        <f>0.3*AR13</f>
        <v>57</v>
      </c>
      <c r="AS16" s="160">
        <f>0.5*AS13</f>
        <v>146.5</v>
      </c>
    </row>
    <row r="17" spans="2:45" ht="14.25" customHeight="1" x14ac:dyDescent="0.25">
      <c r="B17" s="475" t="s">
        <v>222</v>
      </c>
      <c r="C17" s="476"/>
      <c r="D17" s="166" t="s">
        <v>224</v>
      </c>
      <c r="E17" s="190">
        <f>E16</f>
        <v>44564</v>
      </c>
      <c r="F17" s="496">
        <v>0</v>
      </c>
      <c r="G17" s="496"/>
      <c r="H17" s="164" t="s">
        <v>152</v>
      </c>
      <c r="I17" s="163">
        <f>IF(OR(E17="",H17="CZK",H17=""),1,VLOOKUP(E17,'Kurzy CNB'!$A$1:$AH$227,VLOOKUP(H17,List1!$S$4:$T$36,2,FALSE),TRUE))</f>
        <v>1</v>
      </c>
      <c r="J17" s="500">
        <f>CEILING(I17*F17,0.001)</f>
        <v>0</v>
      </c>
      <c r="K17" s="501"/>
      <c r="L17" s="270"/>
      <c r="M17" s="164" t="s">
        <v>153</v>
      </c>
      <c r="N17" s="197"/>
      <c r="O17" s="276">
        <f>IF(N17&lt;&gt;"",IF(M17&lt;&gt;"",(IF(M17="CZK",1,VLOOKUP($N$10,'Kurzy CNB'!$A$1:$AH$227,VLOOKUP(M17,List1!$S$4:$T$36,2,FALSE),TRUE)))*N17/VLOOKUP(M17,List1!$S$3:$U$36,3,FALSE),0),0)</f>
        <v>0</v>
      </c>
      <c r="R17" s="148"/>
      <c r="U17" s="148"/>
      <c r="V17" s="148"/>
      <c r="W17" s="148"/>
      <c r="X17" s="206"/>
      <c r="Y17" s="148"/>
      <c r="Z17" s="148"/>
      <c r="AA17" s="276">
        <f>SUM(O22:O23)</f>
        <v>1106.0999999999999</v>
      </c>
      <c r="AB17" s="276">
        <f>O17</f>
        <v>0</v>
      </c>
      <c r="AC17" s="276">
        <f>IF((AA17-AB17)&lt;0,0,AA17-AB17)</f>
        <v>1106.0999999999999</v>
      </c>
      <c r="AE17" s="202"/>
      <c r="AF17" s="159"/>
      <c r="AG17" s="160"/>
      <c r="AJ17" s="45"/>
      <c r="AK17" s="117" t="s">
        <v>35</v>
      </c>
      <c r="AL17" s="163">
        <v>44.5</v>
      </c>
      <c r="AM17" s="72"/>
      <c r="AO17" s="25">
        <v>3</v>
      </c>
      <c r="AP17" s="25">
        <v>0</v>
      </c>
      <c r="AQ17" s="179">
        <v>0</v>
      </c>
      <c r="AR17" s="179">
        <v>0</v>
      </c>
      <c r="AS17" s="160">
        <f>0.25*AS13</f>
        <v>73.25</v>
      </c>
    </row>
    <row r="18" spans="2:45" ht="12" customHeight="1" x14ac:dyDescent="0.25">
      <c r="B18" s="211"/>
      <c r="C18" s="211"/>
      <c r="D18" s="212"/>
      <c r="E18" s="213"/>
      <c r="F18" s="150"/>
      <c r="G18" s="147"/>
      <c r="H18" s="147"/>
      <c r="I18" s="147"/>
      <c r="J18" s="145"/>
      <c r="K18" s="193"/>
      <c r="L18" s="193"/>
      <c r="M18" s="230"/>
      <c r="N18" s="196"/>
      <c r="O18" s="196"/>
      <c r="X18" s="27"/>
      <c r="AA18" s="125"/>
      <c r="AB18" s="276" t="s">
        <v>8</v>
      </c>
      <c r="AC18" s="284">
        <f>AC12+AC13+AC14+AC17</f>
        <v>1106.0999999999999</v>
      </c>
      <c r="AE18" s="202"/>
      <c r="AF18" s="159"/>
      <c r="AG18" s="160"/>
      <c r="AJ18" s="44"/>
      <c r="AK18" s="117" t="s">
        <v>36</v>
      </c>
      <c r="AL18" s="163">
        <v>51.4</v>
      </c>
      <c r="AM18" s="72"/>
    </row>
    <row r="19" spans="2:45" ht="13.5" customHeight="1" x14ac:dyDescent="0.25">
      <c r="B19" s="497" t="s">
        <v>431</v>
      </c>
      <c r="C19" s="498"/>
      <c r="D19" s="498"/>
      <c r="E19" s="498"/>
      <c r="F19" s="498"/>
      <c r="G19" s="498"/>
      <c r="H19" s="498"/>
      <c r="I19" s="498"/>
      <c r="J19" s="498"/>
      <c r="K19" s="498"/>
      <c r="L19" s="498"/>
      <c r="M19" s="498"/>
      <c r="N19" s="498"/>
      <c r="O19" s="499"/>
      <c r="X19" s="27"/>
      <c r="AA19" s="125"/>
      <c r="AB19" s="125"/>
      <c r="AC19" s="125"/>
      <c r="AE19" s="202"/>
      <c r="AF19" s="159"/>
      <c r="AG19" s="160"/>
      <c r="AJ19" s="56"/>
      <c r="AK19" s="117" t="s">
        <v>37</v>
      </c>
      <c r="AL19" s="163">
        <v>47.1</v>
      </c>
      <c r="AM19" s="72"/>
      <c r="AQ19" s="62"/>
      <c r="AR19" s="62"/>
    </row>
    <row r="20" spans="2:45" ht="13.5" customHeight="1" x14ac:dyDescent="0.25">
      <c r="B20" s="454"/>
      <c r="C20" s="455"/>
      <c r="D20" s="461" t="s">
        <v>430</v>
      </c>
      <c r="E20" s="462"/>
      <c r="F20" s="194" t="s">
        <v>226</v>
      </c>
      <c r="G20" s="194" t="s">
        <v>225</v>
      </c>
      <c r="H20" s="194" t="s">
        <v>226</v>
      </c>
      <c r="I20" s="194" t="s">
        <v>225</v>
      </c>
      <c r="K20" s="480" t="s">
        <v>5</v>
      </c>
      <c r="L20" s="481"/>
      <c r="M20" s="481"/>
      <c r="N20" s="481"/>
      <c r="O20" s="482"/>
      <c r="X20" s="27"/>
      <c r="AE20" s="202"/>
      <c r="AF20" s="159"/>
      <c r="AG20" s="160"/>
      <c r="AJ20" s="56"/>
      <c r="AK20" s="117" t="s">
        <v>425</v>
      </c>
      <c r="AL20" s="163">
        <v>6</v>
      </c>
      <c r="AQ20" s="62"/>
      <c r="AR20" s="62"/>
    </row>
    <row r="21" spans="2:45" ht="13.5" customHeight="1" x14ac:dyDescent="0.25">
      <c r="B21" s="469" t="s">
        <v>429</v>
      </c>
      <c r="C21" s="470"/>
      <c r="D21" s="477" t="s">
        <v>438</v>
      </c>
      <c r="E21" s="479"/>
      <c r="F21" s="194" t="s">
        <v>152</v>
      </c>
      <c r="G21" s="198" t="str">
        <f>H12</f>
        <v/>
      </c>
      <c r="H21" s="194" t="s">
        <v>152</v>
      </c>
      <c r="I21" s="198" t="str">
        <f>G21</f>
        <v/>
      </c>
      <c r="J21" s="208"/>
      <c r="K21" s="194" t="s">
        <v>226</v>
      </c>
      <c r="L21" s="194"/>
      <c r="M21" s="194" t="s">
        <v>225</v>
      </c>
      <c r="N21" s="194" t="s">
        <v>226</v>
      </c>
      <c r="O21" s="194" t="s">
        <v>225</v>
      </c>
      <c r="X21" s="27"/>
      <c r="AE21" s="202"/>
      <c r="AF21" s="159"/>
      <c r="AG21" s="160"/>
      <c r="AJ21" s="56"/>
      <c r="AK21" s="234" t="s">
        <v>62</v>
      </c>
      <c r="AL21" s="238">
        <f>ROUND(IF(AL13=0,(VLOOKUP(AL6,AK17:AL20,2,FALSE)),AL13)*AL11/100,4)</f>
        <v>0.98319999999999996</v>
      </c>
      <c r="AM21" s="113" t="str">
        <f>IF(AL13&lt;&gt;"","použita cena z dokladu","použita cena z vyhlášky")</f>
        <v>použita cena z dokladu</v>
      </c>
      <c r="AQ21" s="62"/>
      <c r="AR21" s="62"/>
    </row>
    <row r="22" spans="2:45" ht="13.5" customHeight="1" x14ac:dyDescent="0.25">
      <c r="B22" s="471"/>
      <c r="C22" s="472"/>
      <c r="D22" s="459"/>
      <c r="E22" s="460"/>
      <c r="F22" s="288" t="s">
        <v>152</v>
      </c>
      <c r="G22" s="197"/>
      <c r="H22" s="194" t="s">
        <v>152</v>
      </c>
      <c r="I22" s="198" t="str">
        <f>IF(G22&lt;&gt;"",IF(F22&lt;&gt;"",(IF(F22="CZK",1,VLOOKUP($N$10,'Kurzy CNB'!$A$1:$AH$227,VLOOKUP(F22,List1!$S$4:$T$36,2,FALSE),TRUE)))*G22/VLOOKUP(F22,List1!$S$3:$U$36,3,FALSE),""),"")</f>
        <v/>
      </c>
      <c r="J22" s="456"/>
      <c r="K22" s="195" t="s">
        <v>152</v>
      </c>
      <c r="L22" s="195"/>
      <c r="M22" s="220">
        <f>CEILING(SUM(AA27:AA55),0.01)</f>
        <v>0</v>
      </c>
      <c r="N22" s="194" t="s">
        <v>152</v>
      </c>
      <c r="O22" s="220">
        <f>M22</f>
        <v>0</v>
      </c>
      <c r="X22" s="27"/>
      <c r="AE22" s="202"/>
      <c r="AF22" s="159"/>
      <c r="AG22" s="160"/>
      <c r="AJ22" s="56"/>
      <c r="AK22" s="117"/>
      <c r="AL22" s="163"/>
      <c r="AQ22" s="62"/>
      <c r="AR22" s="62"/>
    </row>
    <row r="23" spans="2:45" ht="13.5" customHeight="1" x14ac:dyDescent="0.25">
      <c r="B23" s="471"/>
      <c r="C23" s="472"/>
      <c r="D23" s="459"/>
      <c r="E23" s="460"/>
      <c r="F23" s="288" t="s">
        <v>153</v>
      </c>
      <c r="G23" s="197"/>
      <c r="H23" s="194" t="s">
        <v>152</v>
      </c>
      <c r="I23" s="198" t="str">
        <f>IF(G23&lt;&gt;"",IF(F23&lt;&gt;"",(IF(F23="CZK",1,VLOOKUP($N$10,'Kurzy CNB'!$A$1:$AH$227,VLOOKUP(F23,List1!$S$4:$T$36,2,FALSE),TRUE)))*G23/VLOOKUP(F23,List1!$S$3:$U$36,3,FALSE),""),"")</f>
        <v/>
      </c>
      <c r="J23" s="456"/>
      <c r="K23" s="195" t="str">
        <f>O8</f>
        <v>EUR</v>
      </c>
      <c r="L23" s="195"/>
      <c r="M23" s="220">
        <f>CEILING(SUM(AB27:AB55),0.01)</f>
        <v>45</v>
      </c>
      <c r="N23" s="194" t="s">
        <v>152</v>
      </c>
      <c r="O23" s="220">
        <f>IF(M23&lt;&gt;"",VLOOKUP($N$10,'Kurzy CNB'!$A$1:$AH$227,VLOOKUP(K23,List1!$S$4:$T$36,2,FALSE),TRUE))*M23/VLOOKUP(K23,List1!$S$3:$U$36,3,FALSE)</f>
        <v>1106.0999999999999</v>
      </c>
      <c r="P23" s="25"/>
      <c r="Q23" s="25"/>
      <c r="R23" s="25"/>
      <c r="S23" s="25"/>
      <c r="T23" s="25"/>
      <c r="U23" s="25"/>
      <c r="V23" s="25"/>
      <c r="W23" s="25"/>
      <c r="X23" s="91"/>
      <c r="Y23" s="25"/>
      <c r="Z23" s="25"/>
      <c r="AA23" s="25"/>
      <c r="AE23" s="202"/>
      <c r="AF23" s="159"/>
      <c r="AG23" s="160"/>
      <c r="AJ23" s="24"/>
      <c r="AK23" s="117"/>
      <c r="AL23" s="163"/>
      <c r="AP23" s="6" t="s">
        <v>420</v>
      </c>
    </row>
    <row r="24" spans="2:45" ht="13.5" customHeight="1" x14ac:dyDescent="0.25">
      <c r="B24" s="473"/>
      <c r="C24" s="474"/>
      <c r="D24" s="459"/>
      <c r="E24" s="460"/>
      <c r="F24" s="288"/>
      <c r="G24" s="197"/>
      <c r="H24" s="194" t="s">
        <v>152</v>
      </c>
      <c r="I24" s="198" t="str">
        <f>IF(G24&lt;&gt;"",IF(F24&lt;&gt;"",(IF(F24="CZK",1,VLOOKUP($N$10,'Kurzy CNB'!$A$1:$AH$227,VLOOKUP(F24,List1!$S$4:$T$36,2,FALSE),TRUE)))*G24/VLOOKUP(F24,List1!$S$3:$U$36,3,FALSE),""),"")</f>
        <v/>
      </c>
      <c r="J24" s="209"/>
      <c r="X24" s="27"/>
      <c r="AE24" s="202"/>
      <c r="AF24" s="159"/>
      <c r="AG24" s="160"/>
    </row>
    <row r="25" spans="2:45" ht="13.5" customHeight="1" x14ac:dyDescent="0.25">
      <c r="B25" s="450" t="s">
        <v>432</v>
      </c>
      <c r="C25" s="451"/>
      <c r="D25" s="457"/>
      <c r="E25" s="458"/>
      <c r="F25" s="288" t="s">
        <v>153</v>
      </c>
      <c r="G25" s="197"/>
      <c r="H25" s="194" t="s">
        <v>152</v>
      </c>
      <c r="I25" s="198" t="str">
        <f>IF(G25&lt;&gt;"",IF(F25&lt;&gt;"",(IF(F25="CZK",1,VLOOKUP($N$10,'Kurzy CNB'!$A$1:$AH$227,VLOOKUP(F25,List1!$S$4:$T$36,2,FALSE),TRUE)))*G25/VLOOKUP(F25,List1!$S$3:$U$36,3,FALSE),""),"")</f>
        <v/>
      </c>
      <c r="K25" s="483" t="s">
        <v>47</v>
      </c>
      <c r="L25" s="484"/>
      <c r="M25" s="484"/>
      <c r="N25" s="484"/>
      <c r="O25" s="485"/>
      <c r="P25" s="189"/>
      <c r="Q25" s="101"/>
      <c r="R25" s="101"/>
      <c r="S25" s="101"/>
      <c r="T25" s="101"/>
      <c r="U25" s="101"/>
      <c r="V25" s="101"/>
      <c r="W25" s="101" t="s">
        <v>42</v>
      </c>
      <c r="X25" s="101"/>
      <c r="AA25" s="101" t="s">
        <v>152</v>
      </c>
      <c r="AB25" s="185" t="str">
        <f>O8</f>
        <v>EUR</v>
      </c>
      <c r="AF25" s="159"/>
      <c r="AG25" s="160"/>
      <c r="AH25" s="57"/>
      <c r="AI25" s="57"/>
      <c r="AP25" s="25" t="s">
        <v>419</v>
      </c>
      <c r="AQ25" s="25" t="s">
        <v>418</v>
      </c>
      <c r="AR25" s="25" t="s">
        <v>34</v>
      </c>
      <c r="AS25" s="25" t="s">
        <v>33</v>
      </c>
    </row>
    <row r="26" spans="2:45" ht="13.5" customHeight="1" x14ac:dyDescent="0.25">
      <c r="B26" s="452"/>
      <c r="C26" s="453"/>
      <c r="D26" s="457"/>
      <c r="E26" s="458"/>
      <c r="F26" s="288"/>
      <c r="G26" s="197"/>
      <c r="H26" s="194" t="s">
        <v>152</v>
      </c>
      <c r="I26" s="198" t="str">
        <f>IF(G26&lt;&gt;"",IF(F26&lt;&gt;"",(IF(F26="CZK",1,VLOOKUP($N$10,'Kurzy CNB'!$A$1:$AH$227,VLOOKUP(F26,List1!$S$4:$T$36,2,FALSE),TRUE)))*G26/VLOOKUP(F26,List1!$S$3:$U$36,3,FALSE),""),"")</f>
        <v/>
      </c>
      <c r="K26" s="227" t="s">
        <v>2</v>
      </c>
      <c r="L26" s="227"/>
      <c r="M26" s="228" t="s">
        <v>57</v>
      </c>
      <c r="N26" s="228" t="s">
        <v>58</v>
      </c>
      <c r="O26" s="228" t="s">
        <v>59</v>
      </c>
      <c r="P26" s="203" t="s">
        <v>60</v>
      </c>
      <c r="Q26" s="187" t="s">
        <v>470</v>
      </c>
      <c r="R26" s="187" t="s">
        <v>471</v>
      </c>
      <c r="S26" s="186" t="s">
        <v>416</v>
      </c>
      <c r="T26" s="186" t="s">
        <v>417</v>
      </c>
      <c r="U26" s="186" t="s">
        <v>427</v>
      </c>
      <c r="V26" s="186" t="s">
        <v>428</v>
      </c>
      <c r="W26" s="188"/>
      <c r="X26" s="186" t="s">
        <v>422</v>
      </c>
      <c r="Y26" s="223" t="s">
        <v>421</v>
      </c>
      <c r="AA26" s="186" t="s">
        <v>423</v>
      </c>
      <c r="AB26" s="186" t="s">
        <v>424</v>
      </c>
      <c r="AF26" s="157"/>
      <c r="AG26" s="161"/>
      <c r="AH26" s="45"/>
      <c r="AI26" s="45"/>
      <c r="AO26" s="6" t="s">
        <v>42</v>
      </c>
      <c r="AP26" s="25">
        <v>0</v>
      </c>
      <c r="AQ26" s="169" t="s">
        <v>39</v>
      </c>
      <c r="AR26" s="169" t="s">
        <v>40</v>
      </c>
      <c r="AS26" s="169" t="s">
        <v>41</v>
      </c>
    </row>
    <row r="27" spans="2:45" ht="13.5" customHeight="1" x14ac:dyDescent="0.25">
      <c r="B27" s="450" t="s">
        <v>433</v>
      </c>
      <c r="C27" s="451"/>
      <c r="D27" s="457"/>
      <c r="E27" s="458"/>
      <c r="F27" s="288" t="s">
        <v>153</v>
      </c>
      <c r="G27" s="197"/>
      <c r="H27" s="194" t="s">
        <v>152</v>
      </c>
      <c r="I27" s="198" t="str">
        <f>IF(G27&lt;&gt;"",IF(F27&lt;&gt;"",(IF(F27="CZK",1,VLOOKUP($N$10,'Kurzy CNB'!$A$1:$AH$227,VLOOKUP(F27,List1!$S$4:$T$36,2,FALSE),TRUE)))*G27/VLOOKUP(F27,List1!$S$3:$U$36,3,FALSE),""),"")</f>
        <v/>
      </c>
      <c r="K27" s="252">
        <f>IF(E7&lt;&gt;0,E7,"")</f>
        <v>44566</v>
      </c>
      <c r="L27" s="252"/>
      <c r="M27" s="229"/>
      <c r="N27" s="229"/>
      <c r="O27" s="229"/>
      <c r="P27" s="226">
        <f>IF(K27&lt;&gt;"",IF(K28&lt;&gt;"",K27+1-S7,S10-S7),"")</f>
        <v>0.5</v>
      </c>
      <c r="Q27" s="168">
        <f>IF(OR($E$8&gt;K27,$E$9&lt;K27),"",IF(K27=$E$8,$S$8,K27))</f>
        <v>44566.5</v>
      </c>
      <c r="R27" s="168">
        <f>IF(OR($E$8&gt;K27,$E$9&lt;K27),"",IF(K27=$E$9,$S$9,K27+1))</f>
        <v>44567</v>
      </c>
      <c r="S27" s="177">
        <f xml:space="preserve"> IF(Q27="","",R27-Q27)</f>
        <v>0.5</v>
      </c>
      <c r="T27" s="69">
        <f t="shared" ref="T27:T55" si="2">IF(P27&lt;&gt;"",IF(S27&lt;&gt;"",P27-S27,P27),"")</f>
        <v>0</v>
      </c>
      <c r="U27" s="69">
        <f>IF(T27&lt;5/24,S27,IF(S27&lt;=(5/24+0.0000001),"",S27))</f>
        <v>0.5</v>
      </c>
      <c r="V27" s="69">
        <f>IF(T27&gt;=5/24,IF(S27&lt;=(5/24+0.0000001),T27+S27,T27),T27)</f>
        <v>0</v>
      </c>
      <c r="W27" s="67">
        <f t="shared" ref="W27:W55" si="3">IF($E$11="ne",0,IF(LEFT(M27,1)="A",1,0)+IF(LEFT(N27,1)="A",1,0)+IF(LEFT(O27,1)="A",1,0))</f>
        <v>0</v>
      </c>
      <c r="X27" s="176">
        <f>IF(U27&lt;&gt;"",(IF(U27&lt;(1/24-0.0000001),1,(IF(U27&lt;=12/24,2,IF(U27&lt;=18/24,3,4))))),"")</f>
        <v>2</v>
      </c>
      <c r="Y27" s="224">
        <f>IF(V27&lt;&gt;"",(IF(V27&lt;5/24,1,(IF(V27&lt;=12/24,2,IF(V27&lt;=18/24,3,4))))),"")</f>
        <v>1</v>
      </c>
      <c r="AA27" s="254">
        <f t="shared" ref="AA27:AA55" si="4">IF(Y27&lt;&gt;"",IF(X27="",VLOOKUP(W27,$AO$12:$AS$17,Y27+1,FALSE),VLOOKUP(0,$AO$12:$AS$17,Y27+1)),"")</f>
        <v>0</v>
      </c>
      <c r="AB27" s="183">
        <f>IF(X27="","",IF(Y27=1,VLOOKUP(W27,$AO$26:$AS$30,X27+1,FALSE),VLOOKUP(W27,$AO$26:$AS$30,3,FALSE)))</f>
        <v>15</v>
      </c>
      <c r="AF27" s="157"/>
      <c r="AG27" s="161"/>
      <c r="AH27" s="45"/>
      <c r="AI27" s="45"/>
      <c r="AO27" s="6">
        <v>0</v>
      </c>
      <c r="AP27" s="170">
        <v>0</v>
      </c>
      <c r="AQ27" s="171">
        <f>AS27/3</f>
        <v>15</v>
      </c>
      <c r="AR27" s="171">
        <f>AS27*2/3</f>
        <v>30</v>
      </c>
      <c r="AS27" s="171">
        <f>N8</f>
        <v>45</v>
      </c>
    </row>
    <row r="28" spans="2:45" ht="13.5" customHeight="1" x14ac:dyDescent="0.25">
      <c r="B28" s="452"/>
      <c r="C28" s="453"/>
      <c r="D28" s="457"/>
      <c r="E28" s="458"/>
      <c r="F28" s="288"/>
      <c r="G28" s="197"/>
      <c r="H28" s="194" t="s">
        <v>152</v>
      </c>
      <c r="I28" s="198" t="str">
        <f>IF(G28&lt;&gt;"",IF(F28&lt;&gt;"",(IF(F28="CZK",1,VLOOKUP($N$10,'Kurzy CNB'!$A$1:$AH$227,VLOOKUP(F28,List1!$S$4:$T$36,2,FALSE),TRUE)))*G28/VLOOKUP(F28,List1!$S$3:$U$36,3,FALSE),""),"")</f>
        <v/>
      </c>
      <c r="K28" s="252">
        <f>IF(($E$7+List1!A2)&lt;=$E$10,$E$7+List1!A2,"")</f>
        <v>44567</v>
      </c>
      <c r="L28" s="252"/>
      <c r="M28" s="229"/>
      <c r="N28" s="229"/>
      <c r="O28" s="229"/>
      <c r="P28" s="226">
        <f t="shared" ref="P28:P55" si="5">IF(K28&lt;&gt;"",IF(K29&lt;&gt;"",1,$S$10-K28),"")</f>
        <v>0.54166666666424135</v>
      </c>
      <c r="Q28" s="168">
        <f t="shared" ref="Q28:Q55" si="6">IF(OR($E$8&gt;K28,$E$9&lt;K28),"",IF(K28=$E$8,$S$8,K28))</f>
        <v>44567</v>
      </c>
      <c r="R28" s="168">
        <f>IF(OR($E$8&gt;K28,$E$9&lt;K28),"",IF(K28=$E$9,$S$9,K28+1))</f>
        <v>44567.541666666664</v>
      </c>
      <c r="S28" s="177">
        <f t="shared" ref="S28:S55" si="7" xml:space="preserve"> IF(Q28="","",R28-Q28)</f>
        <v>0.54166666666424135</v>
      </c>
      <c r="T28" s="69">
        <f t="shared" si="2"/>
        <v>0</v>
      </c>
      <c r="U28" s="69">
        <f>IF(T28&lt;5/24,S28,IF(S28&lt;=(5/24+0.0000001),"",S28))</f>
        <v>0.54166666666424135</v>
      </c>
      <c r="V28" s="69">
        <f t="shared" ref="V28:V55" si="8">IF(T28&gt;=5/24,IF(S28&lt;=(5/24+0.0000001),T28+S28,T28),T28)</f>
        <v>0</v>
      </c>
      <c r="W28" s="67">
        <f t="shared" si="3"/>
        <v>0</v>
      </c>
      <c r="X28" s="176">
        <f t="shared" ref="X28:X55" si="9">IF(U28&lt;&gt;"",(IF(U28&lt;(1/24-0.0000001),1,(IF(U28&lt;=12/24,2,IF(U28&lt;=18/24,3,4))))),"")</f>
        <v>3</v>
      </c>
      <c r="Y28" s="224">
        <f t="shared" ref="Y28:Y55" si="10">IF(V28&lt;&gt;"",(IF(V28&lt;5/24,1,(IF(V28&lt;=12/24,2,IF(V28&lt;=18/24,3,4))))),"")</f>
        <v>1</v>
      </c>
      <c r="AA28" s="254">
        <f t="shared" si="4"/>
        <v>0</v>
      </c>
      <c r="AB28" s="183">
        <f t="shared" ref="AB28:AB55" si="11">IF(X28="","",IF(Y28=1,VLOOKUP(W28,$AO$26:$AS$30,X28+1,FALSE),VLOOKUP(W28,$AO$26:$AS$30,3,FALSE)))</f>
        <v>30</v>
      </c>
      <c r="AF28" s="158"/>
      <c r="AG28" s="162"/>
      <c r="AH28" s="3"/>
      <c r="AI28" s="3"/>
      <c r="AO28" s="6">
        <v>1</v>
      </c>
      <c r="AP28" s="172">
        <v>0</v>
      </c>
      <c r="AQ28" s="173">
        <f>AQ27*0.3</f>
        <v>4.5</v>
      </c>
      <c r="AR28" s="173">
        <f>0.65*AR27</f>
        <v>19.5</v>
      </c>
      <c r="AS28" s="173">
        <f>0.75*AS27</f>
        <v>33.75</v>
      </c>
    </row>
    <row r="29" spans="2:45" ht="13.5" customHeight="1" x14ac:dyDescent="0.25">
      <c r="B29" s="477" t="s">
        <v>472</v>
      </c>
      <c r="C29" s="478"/>
      <c r="D29" s="478"/>
      <c r="E29" s="478"/>
      <c r="F29" s="478"/>
      <c r="G29" s="479"/>
      <c r="H29" s="199" t="s">
        <v>152</v>
      </c>
      <c r="I29" s="251">
        <f>AC12+AC13+AC14+AC17</f>
        <v>1106.0999999999999</v>
      </c>
      <c r="K29" s="252" t="str">
        <f>IF(($E$7+List1!A3)&lt;=$E$10,$E$7+List1!A3,"")</f>
        <v/>
      </c>
      <c r="L29" s="252"/>
      <c r="M29" s="229"/>
      <c r="N29" s="229"/>
      <c r="O29" s="229"/>
      <c r="P29" s="226" t="str">
        <f t="shared" si="5"/>
        <v/>
      </c>
      <c r="Q29" s="168" t="str">
        <f t="shared" si="6"/>
        <v/>
      </c>
      <c r="R29" s="168" t="str">
        <f t="shared" ref="R29:R55" si="12">IF(OR($E$8&gt;K29,$E$9&lt;K29),"",IF(K29=$E$9,$S$9,K29+1))</f>
        <v/>
      </c>
      <c r="S29" s="177" t="str">
        <f t="shared" si="7"/>
        <v/>
      </c>
      <c r="T29" s="69" t="str">
        <f t="shared" si="2"/>
        <v/>
      </c>
      <c r="U29" s="69" t="str">
        <f t="shared" ref="U29:U43" si="13">IF(T29&lt;5/24,S29,IF(S29&lt;=(5/24+0.0000001),"",S29))</f>
        <v/>
      </c>
      <c r="V29" s="69" t="str">
        <f t="shared" si="8"/>
        <v/>
      </c>
      <c r="W29" s="67">
        <f t="shared" si="3"/>
        <v>0</v>
      </c>
      <c r="X29" s="176" t="str">
        <f t="shared" si="9"/>
        <v/>
      </c>
      <c r="Y29" s="224" t="str">
        <f t="shared" si="10"/>
        <v/>
      </c>
      <c r="AA29" s="254" t="str">
        <f t="shared" si="4"/>
        <v/>
      </c>
      <c r="AB29" s="183" t="str">
        <f t="shared" si="11"/>
        <v/>
      </c>
      <c r="AF29" s="158"/>
      <c r="AG29" s="162"/>
      <c r="AH29" s="3"/>
      <c r="AI29" s="3"/>
      <c r="AK29" s="354" t="s">
        <v>113</v>
      </c>
      <c r="AL29" s="354"/>
      <c r="AM29" s="354"/>
      <c r="AO29" s="6">
        <v>2</v>
      </c>
      <c r="AP29" s="172">
        <v>0</v>
      </c>
      <c r="AQ29" s="180">
        <v>0</v>
      </c>
      <c r="AR29" s="173">
        <f>0.3*AR27</f>
        <v>9</v>
      </c>
      <c r="AS29" s="173">
        <f>0.5*AS27</f>
        <v>22.5</v>
      </c>
    </row>
    <row r="30" spans="2:45" ht="13.5" customHeight="1" x14ac:dyDescent="0.25">
      <c r="B30" s="477" t="s">
        <v>14</v>
      </c>
      <c r="C30" s="478"/>
      <c r="D30" s="478"/>
      <c r="E30" s="478"/>
      <c r="F30" s="478"/>
      <c r="G30" s="479"/>
      <c r="H30" s="199" t="s">
        <v>152</v>
      </c>
      <c r="I30" s="198">
        <f>IF(E14="ne",0,CEILING(J16+J17,0.01))</f>
        <v>0</v>
      </c>
      <c r="K30" s="252" t="str">
        <f>IF(($E$7+List1!A4)&lt;=$E$10,$E$7+List1!A4,"")</f>
        <v/>
      </c>
      <c r="L30" s="252"/>
      <c r="M30" s="229"/>
      <c r="N30" s="229"/>
      <c r="O30" s="229"/>
      <c r="P30" s="226" t="str">
        <f t="shared" si="5"/>
        <v/>
      </c>
      <c r="Q30" s="168" t="str">
        <f t="shared" si="6"/>
        <v/>
      </c>
      <c r="R30" s="168" t="str">
        <f t="shared" si="12"/>
        <v/>
      </c>
      <c r="S30" s="177" t="str">
        <f t="shared" si="7"/>
        <v/>
      </c>
      <c r="T30" s="69" t="str">
        <f t="shared" si="2"/>
        <v/>
      </c>
      <c r="U30" s="69" t="str">
        <f t="shared" si="13"/>
        <v/>
      </c>
      <c r="V30" s="69" t="str">
        <f t="shared" si="8"/>
        <v/>
      </c>
      <c r="W30" s="67">
        <f t="shared" si="3"/>
        <v>0</v>
      </c>
      <c r="X30" s="176" t="str">
        <f t="shared" si="9"/>
        <v/>
      </c>
      <c r="Y30" s="224" t="str">
        <f t="shared" si="10"/>
        <v/>
      </c>
      <c r="AA30" s="254" t="str">
        <f t="shared" si="4"/>
        <v/>
      </c>
      <c r="AB30" s="183" t="str">
        <f t="shared" si="11"/>
        <v/>
      </c>
      <c r="AF30" s="158"/>
      <c r="AG30" s="162"/>
      <c r="AH30" s="3"/>
      <c r="AI30" s="3"/>
      <c r="AK30" s="264" t="s">
        <v>91</v>
      </c>
      <c r="AL30" s="264" t="s">
        <v>92</v>
      </c>
      <c r="AM30" s="124" t="s">
        <v>90</v>
      </c>
      <c r="AO30" s="6">
        <v>3</v>
      </c>
      <c r="AP30" s="172">
        <v>0</v>
      </c>
      <c r="AQ30" s="180">
        <v>0</v>
      </c>
      <c r="AR30" s="180">
        <v>0</v>
      </c>
      <c r="AS30" s="173">
        <f>0.25*AS27</f>
        <v>11.25</v>
      </c>
    </row>
    <row r="31" spans="2:45" ht="14.25" customHeight="1" x14ac:dyDescent="0.25">
      <c r="B31" s="427" t="str">
        <f>IF(I31&lt;0,"Přeplatek (zaměstnanec vrátí)", "Doplatek (zaměstnanci bude doplaceno)")</f>
        <v>Doplatek (zaměstnanci bude doplaceno)</v>
      </c>
      <c r="C31" s="428"/>
      <c r="D31" s="428"/>
      <c r="E31" s="428"/>
      <c r="F31" s="428"/>
      <c r="G31" s="429"/>
      <c r="H31" s="164" t="s">
        <v>152</v>
      </c>
      <c r="I31" s="250">
        <f>(I29-I30)/(IF(H31="CZK",1,VLOOKUP($N$10,'Kurzy CNB'!$A$1:$AH$227,VLOOKUP(H31,List1!$S$4:$T$36,2,FALSE),TRUE))/VLOOKUP(H31,List1!$S$3:$U$36,3,FALSE))</f>
        <v>1106.0999999999999</v>
      </c>
      <c r="K31" s="252" t="str">
        <f>IF(($E$7+List1!A5)&lt;=$E$10,$E$7+List1!A5,"")</f>
        <v/>
      </c>
      <c r="L31" s="252"/>
      <c r="M31" s="229"/>
      <c r="N31" s="229"/>
      <c r="O31" s="229"/>
      <c r="P31" s="226" t="str">
        <f t="shared" si="5"/>
        <v/>
      </c>
      <c r="Q31" s="168" t="str">
        <f t="shared" si="6"/>
        <v/>
      </c>
      <c r="R31" s="168" t="str">
        <f t="shared" si="12"/>
        <v/>
      </c>
      <c r="S31" s="177" t="str">
        <f t="shared" si="7"/>
        <v/>
      </c>
      <c r="T31" s="69" t="str">
        <f t="shared" si="2"/>
        <v/>
      </c>
      <c r="U31" s="69" t="str">
        <f t="shared" si="13"/>
        <v/>
      </c>
      <c r="V31" s="69" t="str">
        <f t="shared" si="8"/>
        <v/>
      </c>
      <c r="W31" s="67">
        <f t="shared" si="3"/>
        <v>0</v>
      </c>
      <c r="X31" s="176" t="str">
        <f t="shared" si="9"/>
        <v/>
      </c>
      <c r="Y31" s="224" t="str">
        <f t="shared" si="10"/>
        <v/>
      </c>
      <c r="AA31" s="254" t="str">
        <f t="shared" si="4"/>
        <v/>
      </c>
      <c r="AB31" s="183" t="str">
        <f t="shared" si="11"/>
        <v/>
      </c>
      <c r="AF31" s="158"/>
      <c r="AG31" s="162"/>
      <c r="AH31" s="3"/>
      <c r="AI31" s="3"/>
      <c r="AK31" s="264" t="s">
        <v>93</v>
      </c>
      <c r="AL31" s="264" t="s">
        <v>94</v>
      </c>
      <c r="AM31" s="117"/>
    </row>
    <row r="32" spans="2:45" ht="10.5" customHeight="1" x14ac:dyDescent="0.25">
      <c r="B32" s="7"/>
      <c r="C32" s="84"/>
      <c r="D32" s="26"/>
      <c r="E32" s="8"/>
      <c r="J32" s="14"/>
      <c r="K32" s="252" t="str">
        <f>IF(($E$7+List1!A6)&lt;=$E$10,$E$7+List1!A6,"")</f>
        <v/>
      </c>
      <c r="L32" s="252"/>
      <c r="M32" s="229"/>
      <c r="N32" s="229"/>
      <c r="O32" s="229"/>
      <c r="P32" s="226" t="str">
        <f t="shared" si="5"/>
        <v/>
      </c>
      <c r="Q32" s="168" t="str">
        <f t="shared" si="6"/>
        <v/>
      </c>
      <c r="R32" s="168" t="str">
        <f t="shared" si="12"/>
        <v/>
      </c>
      <c r="S32" s="177" t="str">
        <f t="shared" si="7"/>
        <v/>
      </c>
      <c r="T32" s="69" t="str">
        <f t="shared" si="2"/>
        <v/>
      </c>
      <c r="U32" s="69" t="str">
        <f t="shared" si="13"/>
        <v/>
      </c>
      <c r="V32" s="69" t="str">
        <f t="shared" si="8"/>
        <v/>
      </c>
      <c r="W32" s="67">
        <f t="shared" si="3"/>
        <v>0</v>
      </c>
      <c r="X32" s="176" t="str">
        <f t="shared" si="9"/>
        <v/>
      </c>
      <c r="Y32" s="224" t="str">
        <f t="shared" si="10"/>
        <v/>
      </c>
      <c r="AA32" s="254" t="str">
        <f t="shared" si="4"/>
        <v/>
      </c>
      <c r="AB32" s="183" t="str">
        <f t="shared" si="11"/>
        <v/>
      </c>
      <c r="AF32" s="158"/>
      <c r="AG32" s="162"/>
      <c r="AH32" s="3"/>
      <c r="AI32" s="3"/>
      <c r="AK32" s="264" t="s">
        <v>95</v>
      </c>
      <c r="AL32" s="264" t="s">
        <v>94</v>
      </c>
      <c r="AM32" s="117"/>
    </row>
    <row r="33" spans="1:39" ht="9.75" customHeight="1" x14ac:dyDescent="0.25">
      <c r="B33" s="24" t="s">
        <v>451</v>
      </c>
      <c r="C33" s="77"/>
      <c r="D33" s="77"/>
      <c r="E33" s="77"/>
      <c r="F33" s="14"/>
      <c r="J33" s="14"/>
      <c r="K33" s="252" t="str">
        <f>IF(($E$7+List1!A7)&lt;=$E$10,$E$7+List1!A7,"")</f>
        <v/>
      </c>
      <c r="L33" s="252"/>
      <c r="M33" s="229"/>
      <c r="N33" s="229"/>
      <c r="O33" s="229"/>
      <c r="P33" s="226" t="str">
        <f t="shared" si="5"/>
        <v/>
      </c>
      <c r="Q33" s="168" t="str">
        <f t="shared" si="6"/>
        <v/>
      </c>
      <c r="R33" s="168" t="str">
        <f t="shared" si="12"/>
        <v/>
      </c>
      <c r="S33" s="177" t="str">
        <f t="shared" si="7"/>
        <v/>
      </c>
      <c r="T33" s="69" t="str">
        <f t="shared" si="2"/>
        <v/>
      </c>
      <c r="U33" s="69" t="str">
        <f t="shared" si="13"/>
        <v/>
      </c>
      <c r="V33" s="69" t="str">
        <f t="shared" si="8"/>
        <v/>
      </c>
      <c r="W33" s="67">
        <f t="shared" si="3"/>
        <v>0</v>
      </c>
      <c r="X33" s="176" t="str">
        <f t="shared" si="9"/>
        <v/>
      </c>
      <c r="Y33" s="224" t="str">
        <f t="shared" si="10"/>
        <v/>
      </c>
      <c r="AA33" s="254" t="str">
        <f t="shared" si="4"/>
        <v/>
      </c>
      <c r="AB33" s="183" t="str">
        <f t="shared" si="11"/>
        <v/>
      </c>
      <c r="AF33" s="158"/>
      <c r="AG33" s="162"/>
      <c r="AH33" s="3"/>
      <c r="AI33" s="3"/>
      <c r="AK33" s="264" t="s">
        <v>96</v>
      </c>
      <c r="AL33" s="264" t="s">
        <v>94</v>
      </c>
      <c r="AM33" s="117"/>
    </row>
    <row r="34" spans="1:39" ht="9.75" customHeight="1" x14ac:dyDescent="0.25">
      <c r="B34" s="508"/>
      <c r="C34" s="509"/>
      <c r="D34" s="509"/>
      <c r="E34" s="509"/>
      <c r="F34" s="509"/>
      <c r="G34" s="509"/>
      <c r="H34" s="509"/>
      <c r="I34" s="510"/>
      <c r="J34" s="14"/>
      <c r="K34" s="252" t="str">
        <f>IF(($E$7+List1!A8)&lt;=$E$10,$E$7+List1!A8,"")</f>
        <v/>
      </c>
      <c r="L34" s="252"/>
      <c r="M34" s="229"/>
      <c r="N34" s="229"/>
      <c r="O34" s="229"/>
      <c r="P34" s="226" t="str">
        <f t="shared" si="5"/>
        <v/>
      </c>
      <c r="Q34" s="168" t="str">
        <f t="shared" si="6"/>
        <v/>
      </c>
      <c r="R34" s="168" t="str">
        <f t="shared" si="12"/>
        <v/>
      </c>
      <c r="S34" s="177" t="str">
        <f t="shared" si="7"/>
        <v/>
      </c>
      <c r="T34" s="69" t="str">
        <f t="shared" si="2"/>
        <v/>
      </c>
      <c r="U34" s="69" t="str">
        <f t="shared" si="13"/>
        <v/>
      </c>
      <c r="V34" s="69" t="str">
        <f t="shared" si="8"/>
        <v/>
      </c>
      <c r="W34" s="67">
        <f t="shared" si="3"/>
        <v>0</v>
      </c>
      <c r="X34" s="176" t="str">
        <f t="shared" si="9"/>
        <v/>
      </c>
      <c r="Y34" s="224" t="str">
        <f t="shared" si="10"/>
        <v/>
      </c>
      <c r="AA34" s="254" t="str">
        <f t="shared" si="4"/>
        <v/>
      </c>
      <c r="AB34" s="183" t="str">
        <f t="shared" si="11"/>
        <v/>
      </c>
      <c r="AF34" s="158"/>
      <c r="AG34" s="162"/>
      <c r="AH34" s="3"/>
      <c r="AI34" s="3"/>
      <c r="AK34" s="264" t="s">
        <v>97</v>
      </c>
      <c r="AL34" s="264" t="s">
        <v>94</v>
      </c>
      <c r="AM34" s="117"/>
    </row>
    <row r="35" spans="1:39" ht="9.75" customHeight="1" x14ac:dyDescent="0.25">
      <c r="B35" s="511"/>
      <c r="C35" s="512"/>
      <c r="D35" s="512"/>
      <c r="E35" s="512"/>
      <c r="F35" s="512"/>
      <c r="G35" s="512"/>
      <c r="H35" s="512"/>
      <c r="I35" s="513"/>
      <c r="J35" s="14"/>
      <c r="K35" s="252" t="str">
        <f>IF(($E$7+List1!A9)&lt;=$E$10,$E$7+List1!A9,"")</f>
        <v/>
      </c>
      <c r="L35" s="252"/>
      <c r="M35" s="229"/>
      <c r="N35" s="229"/>
      <c r="O35" s="229"/>
      <c r="P35" s="226" t="str">
        <f t="shared" si="5"/>
        <v/>
      </c>
      <c r="Q35" s="168" t="str">
        <f t="shared" si="6"/>
        <v/>
      </c>
      <c r="R35" s="168" t="str">
        <f t="shared" si="12"/>
        <v/>
      </c>
      <c r="S35" s="177" t="str">
        <f t="shared" si="7"/>
        <v/>
      </c>
      <c r="T35" s="69" t="str">
        <f t="shared" si="2"/>
        <v/>
      </c>
      <c r="U35" s="69" t="str">
        <f t="shared" si="13"/>
        <v/>
      </c>
      <c r="V35" s="69" t="str">
        <f t="shared" si="8"/>
        <v/>
      </c>
      <c r="W35" s="67">
        <f t="shared" si="3"/>
        <v>0</v>
      </c>
      <c r="X35" s="176" t="str">
        <f t="shared" si="9"/>
        <v/>
      </c>
      <c r="Y35" s="224" t="str">
        <f t="shared" si="10"/>
        <v/>
      </c>
      <c r="AA35" s="254" t="str">
        <f t="shared" si="4"/>
        <v/>
      </c>
      <c r="AB35" s="183" t="str">
        <f t="shared" si="11"/>
        <v/>
      </c>
      <c r="AF35" s="158"/>
      <c r="AG35" s="162"/>
      <c r="AH35" s="3"/>
      <c r="AI35" s="3"/>
      <c r="AK35" s="264" t="s">
        <v>98</v>
      </c>
      <c r="AL35" s="264" t="s">
        <v>94</v>
      </c>
      <c r="AM35" s="117"/>
    </row>
    <row r="36" spans="1:39" ht="9.75" customHeight="1" x14ac:dyDescent="0.25">
      <c r="B36" s="514"/>
      <c r="C36" s="515"/>
      <c r="D36" s="515"/>
      <c r="E36" s="515"/>
      <c r="F36" s="515"/>
      <c r="G36" s="515"/>
      <c r="H36" s="515"/>
      <c r="I36" s="516"/>
      <c r="J36" s="14"/>
      <c r="K36" s="252" t="str">
        <f>IF(($E$7+List1!A10)&lt;=$E$10,$E$7+List1!A10,"")</f>
        <v/>
      </c>
      <c r="L36" s="252"/>
      <c r="M36" s="229"/>
      <c r="N36" s="229"/>
      <c r="O36" s="229"/>
      <c r="P36" s="226" t="str">
        <f t="shared" si="5"/>
        <v/>
      </c>
      <c r="Q36" s="168" t="str">
        <f t="shared" si="6"/>
        <v/>
      </c>
      <c r="R36" s="168" t="str">
        <f t="shared" si="12"/>
        <v/>
      </c>
      <c r="S36" s="177" t="str">
        <f t="shared" si="7"/>
        <v/>
      </c>
      <c r="T36" s="69" t="str">
        <f t="shared" si="2"/>
        <v/>
      </c>
      <c r="U36" s="69" t="str">
        <f t="shared" si="13"/>
        <v/>
      </c>
      <c r="V36" s="69" t="str">
        <f t="shared" si="8"/>
        <v/>
      </c>
      <c r="W36" s="67">
        <f t="shared" si="3"/>
        <v>0</v>
      </c>
      <c r="X36" s="176" t="str">
        <f t="shared" si="9"/>
        <v/>
      </c>
      <c r="Y36" s="224" t="str">
        <f t="shared" si="10"/>
        <v/>
      </c>
      <c r="AA36" s="254" t="str">
        <f t="shared" si="4"/>
        <v/>
      </c>
      <c r="AB36" s="183" t="str">
        <f t="shared" si="11"/>
        <v/>
      </c>
      <c r="AF36" s="158"/>
      <c r="AG36" s="162"/>
      <c r="AH36" s="3"/>
      <c r="AI36" s="3"/>
      <c r="AK36" s="264" t="s">
        <v>99</v>
      </c>
      <c r="AL36" s="264" t="s">
        <v>94</v>
      </c>
      <c r="AM36" s="117"/>
    </row>
    <row r="37" spans="1:39" ht="9.75" customHeight="1" x14ac:dyDescent="0.25">
      <c r="G37" s="249"/>
      <c r="H37" s="249"/>
      <c r="I37" s="249"/>
      <c r="K37" s="252" t="str">
        <f>IF(($E$7+List1!A11)&lt;=$E$10,$E$7+List1!A11,"")</f>
        <v/>
      </c>
      <c r="L37" s="252"/>
      <c r="M37" s="229"/>
      <c r="N37" s="229"/>
      <c r="O37" s="229"/>
      <c r="P37" s="226" t="str">
        <f t="shared" si="5"/>
        <v/>
      </c>
      <c r="Q37" s="168" t="str">
        <f t="shared" si="6"/>
        <v/>
      </c>
      <c r="R37" s="168" t="str">
        <f t="shared" si="12"/>
        <v/>
      </c>
      <c r="S37" s="177" t="str">
        <f t="shared" si="7"/>
        <v/>
      </c>
      <c r="T37" s="69" t="str">
        <f t="shared" si="2"/>
        <v/>
      </c>
      <c r="U37" s="69" t="str">
        <f t="shared" si="13"/>
        <v/>
      </c>
      <c r="V37" s="69" t="str">
        <f t="shared" si="8"/>
        <v/>
      </c>
      <c r="W37" s="67">
        <f t="shared" si="3"/>
        <v>0</v>
      </c>
      <c r="X37" s="176" t="str">
        <f t="shared" si="9"/>
        <v/>
      </c>
      <c r="Y37" s="224" t="str">
        <f t="shared" si="10"/>
        <v/>
      </c>
      <c r="AA37" s="254" t="str">
        <f t="shared" si="4"/>
        <v/>
      </c>
      <c r="AB37" s="183" t="str">
        <f t="shared" si="11"/>
        <v/>
      </c>
      <c r="AF37" s="158"/>
      <c r="AG37" s="162"/>
      <c r="AH37" s="3"/>
      <c r="AI37" s="3"/>
      <c r="AK37" s="264" t="s">
        <v>100</v>
      </c>
      <c r="AL37" s="264" t="s">
        <v>94</v>
      </c>
      <c r="AM37" s="117"/>
    </row>
    <row r="38" spans="1:39" ht="11.25" customHeight="1" x14ac:dyDescent="0.25">
      <c r="B38" s="395" t="s">
        <v>444</v>
      </c>
      <c r="C38" s="395"/>
      <c r="D38" s="395"/>
      <c r="E38" s="395"/>
      <c r="F38" s="395"/>
      <c r="G38" s="395"/>
      <c r="H38" s="249"/>
      <c r="I38" s="249"/>
      <c r="K38" s="252" t="str">
        <f>IF(($E$7+List1!A12)&lt;=$E$10,$E$7+List1!A12,"")</f>
        <v/>
      </c>
      <c r="L38" s="252"/>
      <c r="M38" s="229"/>
      <c r="N38" s="229"/>
      <c r="O38" s="229"/>
      <c r="P38" s="226" t="str">
        <f t="shared" si="5"/>
        <v/>
      </c>
      <c r="Q38" s="168" t="str">
        <f t="shared" si="6"/>
        <v/>
      </c>
      <c r="R38" s="168" t="str">
        <f t="shared" si="12"/>
        <v/>
      </c>
      <c r="S38" s="177" t="str">
        <f t="shared" si="7"/>
        <v/>
      </c>
      <c r="T38" s="69" t="str">
        <f t="shared" si="2"/>
        <v/>
      </c>
      <c r="U38" s="69" t="str">
        <f t="shared" si="13"/>
        <v/>
      </c>
      <c r="V38" s="69" t="str">
        <f t="shared" si="8"/>
        <v/>
      </c>
      <c r="W38" s="67">
        <f t="shared" si="3"/>
        <v>0</v>
      </c>
      <c r="X38" s="176" t="str">
        <f t="shared" si="9"/>
        <v/>
      </c>
      <c r="Y38" s="224" t="str">
        <f t="shared" si="10"/>
        <v/>
      </c>
      <c r="AA38" s="254" t="str">
        <f t="shared" si="4"/>
        <v/>
      </c>
      <c r="AB38" s="183" t="str">
        <f t="shared" si="11"/>
        <v/>
      </c>
      <c r="AF38" s="158"/>
      <c r="AG38" s="162"/>
      <c r="AH38" s="3"/>
      <c r="AI38" s="3"/>
      <c r="AK38" s="264" t="s">
        <v>101</v>
      </c>
      <c r="AL38" s="264" t="s">
        <v>94</v>
      </c>
      <c r="AM38" s="117"/>
    </row>
    <row r="39" spans="1:39" ht="10.5" customHeight="1" x14ac:dyDescent="0.25">
      <c r="B39" s="519"/>
      <c r="C39" s="520"/>
      <c r="D39" s="520"/>
      <c r="E39" s="521"/>
      <c r="F39" s="14"/>
      <c r="G39" s="14"/>
      <c r="H39" s="249"/>
      <c r="I39" s="249"/>
      <c r="K39" s="252" t="str">
        <f>IF(($E$7+List1!A13)&lt;=$E$10,$E$7+List1!A13,"")</f>
        <v/>
      </c>
      <c r="L39" s="252"/>
      <c r="M39" s="229"/>
      <c r="N39" s="229"/>
      <c r="O39" s="229"/>
      <c r="P39" s="226" t="str">
        <f t="shared" si="5"/>
        <v/>
      </c>
      <c r="Q39" s="168" t="str">
        <f t="shared" si="6"/>
        <v/>
      </c>
      <c r="R39" s="168" t="str">
        <f t="shared" si="12"/>
        <v/>
      </c>
      <c r="S39" s="177" t="str">
        <f t="shared" si="7"/>
        <v/>
      </c>
      <c r="T39" s="69" t="str">
        <f t="shared" si="2"/>
        <v/>
      </c>
      <c r="U39" s="69" t="str">
        <f t="shared" si="13"/>
        <v/>
      </c>
      <c r="V39" s="69" t="str">
        <f t="shared" si="8"/>
        <v/>
      </c>
      <c r="W39" s="67">
        <f t="shared" si="3"/>
        <v>0</v>
      </c>
      <c r="X39" s="176" t="str">
        <f t="shared" si="9"/>
        <v/>
      </c>
      <c r="Y39" s="224" t="str">
        <f t="shared" si="10"/>
        <v/>
      </c>
      <c r="AA39" s="254" t="str">
        <f t="shared" si="4"/>
        <v/>
      </c>
      <c r="AB39" s="183" t="str">
        <f t="shared" si="11"/>
        <v/>
      </c>
      <c r="AF39" s="158"/>
      <c r="AG39" s="162"/>
      <c r="AH39" s="3"/>
      <c r="AI39" s="3"/>
      <c r="AK39" s="264" t="s">
        <v>102</v>
      </c>
      <c r="AL39" s="264" t="s">
        <v>94</v>
      </c>
      <c r="AM39" s="117"/>
    </row>
    <row r="40" spans="1:39" ht="9.75" customHeight="1" x14ac:dyDescent="0.25">
      <c r="B40" s="522"/>
      <c r="C40" s="523"/>
      <c r="D40" s="523"/>
      <c r="E40" s="524"/>
      <c r="F40" s="244"/>
      <c r="G40" s="244"/>
      <c r="H40" s="244"/>
      <c r="I40" s="244"/>
      <c r="K40" s="252" t="str">
        <f>IF(($E$7+List1!A14)&lt;=$E$10,$E$7+List1!A14,"")</f>
        <v/>
      </c>
      <c r="L40" s="252"/>
      <c r="M40" s="229"/>
      <c r="N40" s="229"/>
      <c r="O40" s="229"/>
      <c r="P40" s="226" t="str">
        <f t="shared" si="5"/>
        <v/>
      </c>
      <c r="Q40" s="168" t="str">
        <f t="shared" si="6"/>
        <v/>
      </c>
      <c r="R40" s="168" t="str">
        <f t="shared" si="12"/>
        <v/>
      </c>
      <c r="S40" s="177" t="str">
        <f t="shared" si="7"/>
        <v/>
      </c>
      <c r="T40" s="69" t="str">
        <f t="shared" si="2"/>
        <v/>
      </c>
      <c r="U40" s="69" t="str">
        <f t="shared" si="13"/>
        <v/>
      </c>
      <c r="V40" s="69" t="str">
        <f t="shared" si="8"/>
        <v/>
      </c>
      <c r="W40" s="67">
        <f t="shared" si="3"/>
        <v>0</v>
      </c>
      <c r="X40" s="176" t="str">
        <f t="shared" si="9"/>
        <v/>
      </c>
      <c r="Y40" s="224" t="str">
        <f t="shared" si="10"/>
        <v/>
      </c>
      <c r="AA40" s="254" t="str">
        <f t="shared" si="4"/>
        <v/>
      </c>
      <c r="AB40" s="183" t="str">
        <f t="shared" si="11"/>
        <v/>
      </c>
      <c r="AF40" s="158"/>
      <c r="AG40" s="162"/>
      <c r="AH40" s="3"/>
      <c r="AI40" s="3"/>
      <c r="AK40" s="264" t="s">
        <v>103</v>
      </c>
      <c r="AL40" s="264" t="s">
        <v>94</v>
      </c>
      <c r="AM40" s="117"/>
    </row>
    <row r="41" spans="1:39" ht="9.75" customHeight="1" x14ac:dyDescent="0.25">
      <c r="F41" s="244"/>
      <c r="G41" s="244"/>
      <c r="H41" s="244"/>
      <c r="I41" s="244"/>
      <c r="K41" s="252" t="str">
        <f>IF(($E$7+List1!A15)&lt;=$E$10,$E$7+List1!A15,"")</f>
        <v/>
      </c>
      <c r="L41" s="252"/>
      <c r="M41" s="229"/>
      <c r="N41" s="229"/>
      <c r="O41" s="229"/>
      <c r="P41" s="226" t="str">
        <f t="shared" si="5"/>
        <v/>
      </c>
      <c r="Q41" s="168" t="str">
        <f t="shared" si="6"/>
        <v/>
      </c>
      <c r="R41" s="168" t="str">
        <f t="shared" si="12"/>
        <v/>
      </c>
      <c r="S41" s="177" t="str">
        <f t="shared" si="7"/>
        <v/>
      </c>
      <c r="T41" s="69" t="str">
        <f t="shared" si="2"/>
        <v/>
      </c>
      <c r="U41" s="69" t="str">
        <f t="shared" si="13"/>
        <v/>
      </c>
      <c r="V41" s="69" t="str">
        <f t="shared" si="8"/>
        <v/>
      </c>
      <c r="W41" s="67">
        <f t="shared" si="3"/>
        <v>0</v>
      </c>
      <c r="X41" s="176" t="str">
        <f t="shared" si="9"/>
        <v/>
      </c>
      <c r="Y41" s="224" t="str">
        <f t="shared" si="10"/>
        <v/>
      </c>
      <c r="AA41" s="254" t="str">
        <f t="shared" si="4"/>
        <v/>
      </c>
      <c r="AB41" s="183" t="str">
        <f t="shared" si="11"/>
        <v/>
      </c>
      <c r="AF41" s="158"/>
      <c r="AG41" s="162"/>
      <c r="AH41" s="3"/>
      <c r="AI41" s="3"/>
      <c r="AK41" s="264" t="s">
        <v>104</v>
      </c>
      <c r="AL41" s="264" t="s">
        <v>94</v>
      </c>
      <c r="AM41" s="117"/>
    </row>
    <row r="42" spans="1:39" ht="9.75" customHeight="1" x14ac:dyDescent="0.25">
      <c r="B42" s="525" t="s">
        <v>453</v>
      </c>
      <c r="C42" s="525"/>
      <c r="D42" s="525"/>
      <c r="E42" s="525"/>
      <c r="F42" s="525"/>
      <c r="G42" s="525"/>
      <c r="H42" s="525"/>
      <c r="I42" s="525"/>
      <c r="J42" s="24"/>
      <c r="K42" s="252" t="str">
        <f>IF(($E$7+List1!A16)&lt;=$E$10,$E$7+List1!A16,"")</f>
        <v/>
      </c>
      <c r="L42" s="252"/>
      <c r="M42" s="229"/>
      <c r="N42" s="229"/>
      <c r="O42" s="229"/>
      <c r="P42" s="226" t="str">
        <f t="shared" si="5"/>
        <v/>
      </c>
      <c r="Q42" s="168" t="str">
        <f t="shared" si="6"/>
        <v/>
      </c>
      <c r="R42" s="168" t="str">
        <f t="shared" si="12"/>
        <v/>
      </c>
      <c r="S42" s="177" t="str">
        <f t="shared" si="7"/>
        <v/>
      </c>
      <c r="T42" s="69" t="str">
        <f t="shared" si="2"/>
        <v/>
      </c>
      <c r="U42" s="69" t="str">
        <f t="shared" si="13"/>
        <v/>
      </c>
      <c r="V42" s="69" t="str">
        <f t="shared" si="8"/>
        <v/>
      </c>
      <c r="W42" s="67">
        <f t="shared" si="3"/>
        <v>0</v>
      </c>
      <c r="X42" s="176" t="str">
        <f t="shared" si="9"/>
        <v/>
      </c>
      <c r="Y42" s="224" t="str">
        <f t="shared" si="10"/>
        <v/>
      </c>
      <c r="AA42" s="254" t="str">
        <f t="shared" si="4"/>
        <v/>
      </c>
      <c r="AB42" s="183" t="str">
        <f t="shared" si="11"/>
        <v/>
      </c>
      <c r="AF42" s="158"/>
      <c r="AG42" s="162"/>
      <c r="AH42" s="3"/>
      <c r="AI42" s="3"/>
      <c r="AK42" s="264" t="s">
        <v>105</v>
      </c>
      <c r="AL42" s="264" t="s">
        <v>94</v>
      </c>
      <c r="AM42" s="117"/>
    </row>
    <row r="43" spans="1:39" ht="9.75" customHeight="1" x14ac:dyDescent="0.25">
      <c r="B43" s="525"/>
      <c r="C43" s="525"/>
      <c r="D43" s="525"/>
      <c r="E43" s="525"/>
      <c r="F43" s="525"/>
      <c r="G43" s="525"/>
      <c r="H43" s="525"/>
      <c r="I43" s="525"/>
      <c r="J43" s="24"/>
      <c r="K43" s="252" t="str">
        <f>IF(($E$7+List1!A17)&lt;=$E$10,$E$7+List1!A17,"")</f>
        <v/>
      </c>
      <c r="L43" s="252"/>
      <c r="M43" s="229"/>
      <c r="N43" s="229"/>
      <c r="O43" s="229"/>
      <c r="P43" s="226" t="str">
        <f t="shared" si="5"/>
        <v/>
      </c>
      <c r="Q43" s="168" t="str">
        <f t="shared" si="6"/>
        <v/>
      </c>
      <c r="R43" s="168" t="str">
        <f t="shared" si="12"/>
        <v/>
      </c>
      <c r="S43" s="177" t="str">
        <f t="shared" si="7"/>
        <v/>
      </c>
      <c r="T43" s="69" t="str">
        <f t="shared" si="2"/>
        <v/>
      </c>
      <c r="U43" s="69" t="str">
        <f t="shared" si="13"/>
        <v/>
      </c>
      <c r="V43" s="69" t="str">
        <f t="shared" si="8"/>
        <v/>
      </c>
      <c r="W43" s="67">
        <f t="shared" si="3"/>
        <v>0</v>
      </c>
      <c r="X43" s="176" t="str">
        <f t="shared" si="9"/>
        <v/>
      </c>
      <c r="Y43" s="224" t="str">
        <f t="shared" si="10"/>
        <v/>
      </c>
      <c r="AA43" s="254" t="str">
        <f t="shared" si="4"/>
        <v/>
      </c>
      <c r="AB43" s="183" t="str">
        <f t="shared" si="11"/>
        <v/>
      </c>
      <c r="AF43" s="158"/>
      <c r="AG43" s="3"/>
      <c r="AH43" s="3"/>
      <c r="AI43" s="3"/>
      <c r="AK43" s="264" t="s">
        <v>106</v>
      </c>
      <c r="AL43" s="264" t="s">
        <v>94</v>
      </c>
      <c r="AM43" s="117"/>
    </row>
    <row r="44" spans="1:39" ht="9.75" customHeight="1" x14ac:dyDescent="0.25">
      <c r="B44" s="525"/>
      <c r="C44" s="525"/>
      <c r="D44" s="525"/>
      <c r="E44" s="525"/>
      <c r="F44" s="525"/>
      <c r="G44" s="525"/>
      <c r="H44" s="525"/>
      <c r="I44" s="525"/>
      <c r="K44" s="252" t="str">
        <f>IF(($E$7+List1!A18)&lt;=$E$10,$E$7+List1!A18,"")</f>
        <v/>
      </c>
      <c r="L44" s="252"/>
      <c r="M44" s="229"/>
      <c r="N44" s="229"/>
      <c r="O44" s="229"/>
      <c r="P44" s="226" t="str">
        <f t="shared" si="5"/>
        <v/>
      </c>
      <c r="Q44" s="168" t="str">
        <f t="shared" si="6"/>
        <v/>
      </c>
      <c r="R44" s="168" t="str">
        <f t="shared" si="12"/>
        <v/>
      </c>
      <c r="S44" s="177" t="str">
        <f t="shared" si="7"/>
        <v/>
      </c>
      <c r="T44" s="69" t="str">
        <f t="shared" si="2"/>
        <v/>
      </c>
      <c r="U44" s="69" t="str">
        <f t="shared" ref="U44" si="14">IF(T44&lt;5/24,S44,IF(S44&lt;=(5/24+0.0000001),"",S44))</f>
        <v/>
      </c>
      <c r="V44" s="69" t="str">
        <f t="shared" si="8"/>
        <v/>
      </c>
      <c r="W44" s="67">
        <f t="shared" si="3"/>
        <v>0</v>
      </c>
      <c r="X44" s="176" t="str">
        <f t="shared" si="9"/>
        <v/>
      </c>
      <c r="Y44" s="224" t="str">
        <f t="shared" si="10"/>
        <v/>
      </c>
      <c r="AA44" s="254" t="str">
        <f t="shared" si="4"/>
        <v/>
      </c>
      <c r="AB44" s="183" t="str">
        <f t="shared" si="11"/>
        <v/>
      </c>
      <c r="AF44" s="158"/>
      <c r="AG44" s="3"/>
      <c r="AH44" s="3"/>
      <c r="AI44" s="3"/>
      <c r="AK44" s="264" t="s">
        <v>107</v>
      </c>
      <c r="AL44" s="264" t="s">
        <v>94</v>
      </c>
      <c r="AM44" s="117"/>
    </row>
    <row r="45" spans="1:39" ht="9.75" customHeight="1" x14ac:dyDescent="0.25">
      <c r="J45" s="14"/>
      <c r="K45" s="252" t="str">
        <f>IF(($E$7+List1!A19)&lt;=$E$10,$E$7+List1!A19,"")</f>
        <v/>
      </c>
      <c r="L45" s="252"/>
      <c r="M45" s="229"/>
      <c r="N45" s="229"/>
      <c r="O45" s="229"/>
      <c r="P45" s="226" t="str">
        <f t="shared" si="5"/>
        <v/>
      </c>
      <c r="Q45" s="168" t="str">
        <f t="shared" si="6"/>
        <v/>
      </c>
      <c r="R45" s="168" t="str">
        <f t="shared" si="12"/>
        <v/>
      </c>
      <c r="S45" s="177" t="str">
        <f t="shared" si="7"/>
        <v/>
      </c>
      <c r="T45" s="69" t="str">
        <f t="shared" si="2"/>
        <v/>
      </c>
      <c r="U45" s="69" t="str">
        <f t="shared" ref="U45" si="15">IF(T45&lt;5/24,S45,IF(S45&lt;=(5/24+0.0000001),"",S45))</f>
        <v/>
      </c>
      <c r="V45" s="69" t="str">
        <f t="shared" si="8"/>
        <v/>
      </c>
      <c r="W45" s="67">
        <f t="shared" si="3"/>
        <v>0</v>
      </c>
      <c r="X45" s="176" t="str">
        <f t="shared" si="9"/>
        <v/>
      </c>
      <c r="Y45" s="224" t="str">
        <f t="shared" si="10"/>
        <v/>
      </c>
      <c r="AA45" s="254" t="str">
        <f t="shared" si="4"/>
        <v/>
      </c>
      <c r="AB45" s="183" t="str">
        <f t="shared" si="11"/>
        <v/>
      </c>
      <c r="AK45" s="264" t="s">
        <v>108</v>
      </c>
      <c r="AL45" s="264" t="s">
        <v>94</v>
      </c>
      <c r="AM45" s="117"/>
    </row>
    <row r="46" spans="1:39" ht="9.75" customHeight="1" x14ac:dyDescent="0.25">
      <c r="F46" s="14"/>
      <c r="J46" s="14"/>
      <c r="K46" s="252" t="str">
        <f>IF(($E$7+List1!A20)&lt;=$E$10,$E$7+List1!A20,"")</f>
        <v/>
      </c>
      <c r="L46" s="252"/>
      <c r="M46" s="229"/>
      <c r="N46" s="229"/>
      <c r="O46" s="229"/>
      <c r="P46" s="226" t="str">
        <f t="shared" si="5"/>
        <v/>
      </c>
      <c r="Q46" s="168" t="str">
        <f t="shared" si="6"/>
        <v/>
      </c>
      <c r="R46" s="168" t="str">
        <f t="shared" si="12"/>
        <v/>
      </c>
      <c r="S46" s="177" t="str">
        <f t="shared" si="7"/>
        <v/>
      </c>
      <c r="T46" s="69" t="str">
        <f t="shared" si="2"/>
        <v/>
      </c>
      <c r="U46" s="69" t="str">
        <f t="shared" ref="U46:U55" si="16">IF(T46&lt;5/24,S46,IF(S46&lt;=(5/24+0.0000001),"",S46))</f>
        <v/>
      </c>
      <c r="V46" s="69" t="str">
        <f t="shared" si="8"/>
        <v/>
      </c>
      <c r="W46" s="67">
        <f t="shared" si="3"/>
        <v>0</v>
      </c>
      <c r="X46" s="176" t="str">
        <f t="shared" si="9"/>
        <v/>
      </c>
      <c r="Y46" s="224" t="str">
        <f t="shared" si="10"/>
        <v/>
      </c>
      <c r="AA46" s="254" t="str">
        <f t="shared" si="4"/>
        <v/>
      </c>
      <c r="AB46" s="183" t="str">
        <f t="shared" si="11"/>
        <v/>
      </c>
      <c r="AK46" s="264" t="s">
        <v>109</v>
      </c>
      <c r="AL46" s="264" t="s">
        <v>94</v>
      </c>
      <c r="AM46" s="117"/>
    </row>
    <row r="47" spans="1:39" ht="9.75" customHeight="1" x14ac:dyDescent="0.25">
      <c r="A47" s="219"/>
      <c r="B47" s="392" t="s">
        <v>478</v>
      </c>
      <c r="C47" s="392"/>
      <c r="D47" s="392"/>
      <c r="E47" s="392"/>
      <c r="F47" s="392"/>
      <c r="G47" s="392"/>
      <c r="H47" s="392"/>
      <c r="I47" s="392"/>
      <c r="K47" s="252" t="str">
        <f>IF(($E$7+List1!A21)&lt;=$E$10,$E$7+List1!A21,"")</f>
        <v/>
      </c>
      <c r="L47" s="252"/>
      <c r="M47" s="229"/>
      <c r="N47" s="229"/>
      <c r="O47" s="229"/>
      <c r="P47" s="226" t="str">
        <f t="shared" si="5"/>
        <v/>
      </c>
      <c r="Q47" s="168" t="str">
        <f t="shared" si="6"/>
        <v/>
      </c>
      <c r="R47" s="168" t="str">
        <f t="shared" si="12"/>
        <v/>
      </c>
      <c r="S47" s="177" t="str">
        <f t="shared" si="7"/>
        <v/>
      </c>
      <c r="T47" s="69" t="str">
        <f t="shared" si="2"/>
        <v/>
      </c>
      <c r="U47" s="69" t="str">
        <f t="shared" si="16"/>
        <v/>
      </c>
      <c r="V47" s="69" t="str">
        <f t="shared" si="8"/>
        <v/>
      </c>
      <c r="W47" s="67">
        <f t="shared" si="3"/>
        <v>0</v>
      </c>
      <c r="X47" s="176" t="str">
        <f t="shared" si="9"/>
        <v/>
      </c>
      <c r="Y47" s="224" t="str">
        <f t="shared" si="10"/>
        <v/>
      </c>
      <c r="AA47" s="254" t="str">
        <f t="shared" si="4"/>
        <v/>
      </c>
      <c r="AB47" s="183" t="str">
        <f t="shared" si="11"/>
        <v/>
      </c>
      <c r="AK47" s="264" t="s">
        <v>110</v>
      </c>
      <c r="AL47" s="264" t="s">
        <v>92</v>
      </c>
      <c r="AM47" s="117"/>
    </row>
    <row r="48" spans="1:39" ht="9.75" customHeight="1" x14ac:dyDescent="0.25">
      <c r="A48" s="219"/>
      <c r="B48" s="506"/>
      <c r="C48" s="506"/>
      <c r="D48" s="506"/>
      <c r="E48" s="506"/>
      <c r="F48" s="506"/>
      <c r="G48" s="506"/>
      <c r="H48" s="506"/>
      <c r="I48" s="506"/>
      <c r="K48" s="252" t="str">
        <f>IF(($E$7+List1!A22)&lt;=$E$10,$E$7+List1!A22,"")</f>
        <v/>
      </c>
      <c r="L48" s="252"/>
      <c r="M48" s="229"/>
      <c r="N48" s="229"/>
      <c r="O48" s="229"/>
      <c r="P48" s="226" t="str">
        <f t="shared" si="5"/>
        <v/>
      </c>
      <c r="Q48" s="168" t="str">
        <f t="shared" si="6"/>
        <v/>
      </c>
      <c r="R48" s="168" t="str">
        <f t="shared" si="12"/>
        <v/>
      </c>
      <c r="S48" s="177" t="str">
        <f t="shared" si="7"/>
        <v/>
      </c>
      <c r="T48" s="69" t="str">
        <f t="shared" si="2"/>
        <v/>
      </c>
      <c r="U48" s="69" t="str">
        <f t="shared" si="16"/>
        <v/>
      </c>
      <c r="V48" s="69" t="str">
        <f t="shared" si="8"/>
        <v/>
      </c>
      <c r="W48" s="67">
        <f t="shared" si="3"/>
        <v>0</v>
      </c>
      <c r="X48" s="176" t="str">
        <f t="shared" si="9"/>
        <v/>
      </c>
      <c r="Y48" s="224" t="str">
        <f t="shared" si="10"/>
        <v/>
      </c>
      <c r="AA48" s="254" t="str">
        <f t="shared" si="4"/>
        <v/>
      </c>
      <c r="AB48" s="183" t="str">
        <f t="shared" si="11"/>
        <v/>
      </c>
      <c r="AK48" s="25"/>
      <c r="AL48" s="25"/>
      <c r="AM48" s="25"/>
    </row>
    <row r="49" spans="1:46" ht="9.75" customHeight="1" x14ac:dyDescent="0.25">
      <c r="A49" s="219"/>
      <c r="K49" s="252" t="str">
        <f>IF(($E$7+List1!A23)&lt;=$E$10,$E$7+List1!A23,"")</f>
        <v/>
      </c>
      <c r="L49" s="252"/>
      <c r="M49" s="229"/>
      <c r="N49" s="229"/>
      <c r="O49" s="229"/>
      <c r="P49" s="226" t="str">
        <f t="shared" si="5"/>
        <v/>
      </c>
      <c r="Q49" s="168" t="str">
        <f t="shared" si="6"/>
        <v/>
      </c>
      <c r="R49" s="168" t="str">
        <f t="shared" si="12"/>
        <v/>
      </c>
      <c r="S49" s="177" t="str">
        <f t="shared" si="7"/>
        <v/>
      </c>
      <c r="T49" s="69" t="str">
        <f t="shared" si="2"/>
        <v/>
      </c>
      <c r="U49" s="69" t="str">
        <f t="shared" si="16"/>
        <v/>
      </c>
      <c r="V49" s="69" t="str">
        <f t="shared" si="8"/>
        <v/>
      </c>
      <c r="W49" s="67">
        <f t="shared" si="3"/>
        <v>0</v>
      </c>
      <c r="X49" s="176" t="str">
        <f t="shared" si="9"/>
        <v/>
      </c>
      <c r="Y49" s="224" t="str">
        <f t="shared" si="10"/>
        <v/>
      </c>
      <c r="AA49" s="254" t="str">
        <f t="shared" si="4"/>
        <v/>
      </c>
      <c r="AB49" s="183" t="str">
        <f t="shared" si="11"/>
        <v/>
      </c>
      <c r="AK49"/>
      <c r="AL49"/>
      <c r="AM49"/>
      <c r="AN49"/>
      <c r="AO49"/>
      <c r="AP49"/>
      <c r="AQ49"/>
      <c r="AR49"/>
      <c r="AS49"/>
      <c r="AT49"/>
    </row>
    <row r="50" spans="1:46" ht="9.75" customHeight="1" x14ac:dyDescent="0.25">
      <c r="K50" s="252" t="str">
        <f>IF(($E$7+List1!A24)&lt;=$E$10,$E$7+List1!A24,"")</f>
        <v/>
      </c>
      <c r="L50" s="252"/>
      <c r="M50" s="229"/>
      <c r="N50" s="229"/>
      <c r="O50" s="229"/>
      <c r="P50" s="226" t="str">
        <f t="shared" si="5"/>
        <v/>
      </c>
      <c r="Q50" s="168" t="str">
        <f t="shared" si="6"/>
        <v/>
      </c>
      <c r="R50" s="168" t="str">
        <f t="shared" si="12"/>
        <v/>
      </c>
      <c r="S50" s="177" t="str">
        <f t="shared" si="7"/>
        <v/>
      </c>
      <c r="T50" s="69" t="str">
        <f t="shared" si="2"/>
        <v/>
      </c>
      <c r="U50" s="69" t="str">
        <f t="shared" si="16"/>
        <v/>
      </c>
      <c r="V50" s="69" t="str">
        <f t="shared" si="8"/>
        <v/>
      </c>
      <c r="W50" s="67">
        <f t="shared" si="3"/>
        <v>0</v>
      </c>
      <c r="X50" s="176" t="str">
        <f t="shared" si="9"/>
        <v/>
      </c>
      <c r="Y50" s="224" t="str">
        <f t="shared" si="10"/>
        <v/>
      </c>
      <c r="AA50" s="254" t="str">
        <f t="shared" si="4"/>
        <v/>
      </c>
      <c r="AB50" s="183" t="str">
        <f t="shared" si="11"/>
        <v/>
      </c>
      <c r="AK50"/>
      <c r="AL50"/>
      <c r="AM50"/>
      <c r="AN50"/>
      <c r="AO50"/>
      <c r="AP50"/>
      <c r="AQ50"/>
      <c r="AR50"/>
      <c r="AS50"/>
      <c r="AT50"/>
    </row>
    <row r="51" spans="1:46" ht="9.75" customHeight="1" x14ac:dyDescent="0.25">
      <c r="B51" s="517" t="s">
        <v>442</v>
      </c>
      <c r="C51" s="517"/>
      <c r="D51" s="517"/>
      <c r="F51" s="517" t="s">
        <v>443</v>
      </c>
      <c r="G51" s="517"/>
      <c r="H51" s="517"/>
      <c r="I51" s="517"/>
      <c r="K51" s="252" t="str">
        <f>IF(($E$7+List1!A25)&lt;=$E$10,$E$7+List1!A25,"")</f>
        <v/>
      </c>
      <c r="L51" s="252"/>
      <c r="M51" s="229"/>
      <c r="N51" s="229"/>
      <c r="O51" s="229"/>
      <c r="P51" s="226" t="str">
        <f t="shared" si="5"/>
        <v/>
      </c>
      <c r="Q51" s="168" t="str">
        <f t="shared" si="6"/>
        <v/>
      </c>
      <c r="R51" s="168" t="str">
        <f t="shared" si="12"/>
        <v/>
      </c>
      <c r="S51" s="177" t="str">
        <f t="shared" si="7"/>
        <v/>
      </c>
      <c r="T51" s="69" t="str">
        <f t="shared" si="2"/>
        <v/>
      </c>
      <c r="U51" s="69" t="str">
        <f t="shared" si="16"/>
        <v/>
      </c>
      <c r="V51" s="69" t="str">
        <f t="shared" si="8"/>
        <v/>
      </c>
      <c r="W51" s="67">
        <f t="shared" si="3"/>
        <v>0</v>
      </c>
      <c r="X51" s="176" t="str">
        <f t="shared" si="9"/>
        <v/>
      </c>
      <c r="Y51" s="224" t="str">
        <f t="shared" si="10"/>
        <v/>
      </c>
      <c r="AA51" s="254" t="str">
        <f t="shared" si="4"/>
        <v/>
      </c>
      <c r="AB51" s="183" t="str">
        <f t="shared" si="11"/>
        <v/>
      </c>
      <c r="AK51"/>
      <c r="AL51"/>
      <c r="AM51"/>
      <c r="AN51"/>
      <c r="AO51"/>
      <c r="AP51"/>
      <c r="AQ51"/>
      <c r="AR51"/>
      <c r="AS51"/>
      <c r="AT51"/>
    </row>
    <row r="52" spans="1:46" ht="9.75" customHeight="1" x14ac:dyDescent="0.25">
      <c r="B52" s="518"/>
      <c r="C52" s="518"/>
      <c r="D52" s="518"/>
      <c r="K52" s="252" t="str">
        <f>IF(($E$7+List1!A26)&lt;=$E$10,$E$7+List1!A26,"")</f>
        <v/>
      </c>
      <c r="L52" s="252"/>
      <c r="M52" s="229"/>
      <c r="N52" s="229"/>
      <c r="O52" s="229"/>
      <c r="P52" s="226" t="str">
        <f t="shared" si="5"/>
        <v/>
      </c>
      <c r="Q52" s="168" t="str">
        <f t="shared" si="6"/>
        <v/>
      </c>
      <c r="R52" s="168" t="str">
        <f t="shared" si="12"/>
        <v/>
      </c>
      <c r="S52" s="177" t="str">
        <f t="shared" si="7"/>
        <v/>
      </c>
      <c r="T52" s="69" t="str">
        <f t="shared" si="2"/>
        <v/>
      </c>
      <c r="U52" s="69" t="str">
        <f t="shared" si="16"/>
        <v/>
      </c>
      <c r="V52" s="69" t="str">
        <f t="shared" si="8"/>
        <v/>
      </c>
      <c r="W52" s="67">
        <f t="shared" si="3"/>
        <v>0</v>
      </c>
      <c r="X52" s="176" t="str">
        <f t="shared" si="9"/>
        <v/>
      </c>
      <c r="Y52" s="224" t="str">
        <f t="shared" si="10"/>
        <v/>
      </c>
      <c r="AA52" s="254" t="str">
        <f t="shared" si="4"/>
        <v/>
      </c>
      <c r="AB52" s="183" t="str">
        <f t="shared" si="11"/>
        <v/>
      </c>
      <c r="AK52"/>
      <c r="AL52"/>
      <c r="AM52"/>
      <c r="AN52"/>
      <c r="AO52"/>
      <c r="AP52"/>
      <c r="AQ52"/>
      <c r="AR52"/>
      <c r="AS52"/>
      <c r="AT52"/>
    </row>
    <row r="53" spans="1:46" ht="9.75" customHeight="1" x14ac:dyDescent="0.25">
      <c r="J53" s="221"/>
      <c r="K53" s="252" t="str">
        <f>IF(($E$7+List1!A27)&lt;=$E$10,$E$7+List1!A27,"")</f>
        <v/>
      </c>
      <c r="L53" s="252"/>
      <c r="M53" s="229"/>
      <c r="N53" s="229"/>
      <c r="O53" s="229"/>
      <c r="P53" s="226" t="str">
        <f t="shared" si="5"/>
        <v/>
      </c>
      <c r="Q53" s="168" t="str">
        <f t="shared" si="6"/>
        <v/>
      </c>
      <c r="R53" s="168" t="str">
        <f t="shared" si="12"/>
        <v/>
      </c>
      <c r="S53" s="177" t="str">
        <f t="shared" si="7"/>
        <v/>
      </c>
      <c r="T53" s="69" t="str">
        <f t="shared" si="2"/>
        <v/>
      </c>
      <c r="U53" s="69" t="str">
        <f t="shared" si="16"/>
        <v/>
      </c>
      <c r="V53" s="69" t="str">
        <f t="shared" si="8"/>
        <v/>
      </c>
      <c r="W53" s="67">
        <f t="shared" si="3"/>
        <v>0</v>
      </c>
      <c r="X53" s="176" t="str">
        <f t="shared" si="9"/>
        <v/>
      </c>
      <c r="Y53" s="224" t="str">
        <f t="shared" si="10"/>
        <v/>
      </c>
      <c r="AA53" s="254" t="str">
        <f t="shared" si="4"/>
        <v/>
      </c>
      <c r="AB53" s="183" t="str">
        <f t="shared" si="11"/>
        <v/>
      </c>
      <c r="AK53"/>
    </row>
    <row r="54" spans="1:46" ht="9.75" customHeight="1" x14ac:dyDescent="0.25">
      <c r="J54" s="221"/>
      <c r="K54" s="252" t="str">
        <f>IF(($E$7+List1!A28)&lt;=$E$10,$E$7+List1!A28,"")</f>
        <v/>
      </c>
      <c r="L54" s="252"/>
      <c r="M54" s="229"/>
      <c r="N54" s="229"/>
      <c r="O54" s="229"/>
      <c r="P54" s="226" t="str">
        <f t="shared" si="5"/>
        <v/>
      </c>
      <c r="Q54" s="168" t="str">
        <f t="shared" si="6"/>
        <v/>
      </c>
      <c r="R54" s="168" t="str">
        <f t="shared" si="12"/>
        <v/>
      </c>
      <c r="S54" s="177" t="str">
        <f t="shared" si="7"/>
        <v/>
      </c>
      <c r="T54" s="69" t="str">
        <f t="shared" si="2"/>
        <v/>
      </c>
      <c r="U54" s="69" t="str">
        <f t="shared" si="16"/>
        <v/>
      </c>
      <c r="V54" s="69" t="str">
        <f t="shared" si="8"/>
        <v/>
      </c>
      <c r="W54" s="67">
        <f t="shared" si="3"/>
        <v>0</v>
      </c>
      <c r="X54" s="176" t="str">
        <f t="shared" si="9"/>
        <v/>
      </c>
      <c r="Y54" s="224" t="str">
        <f t="shared" si="10"/>
        <v/>
      </c>
      <c r="AA54" s="254" t="str">
        <f t="shared" si="4"/>
        <v/>
      </c>
      <c r="AB54" s="183" t="str">
        <f t="shared" si="11"/>
        <v/>
      </c>
      <c r="AK54"/>
    </row>
    <row r="55" spans="1:46" ht="9.75" customHeight="1" x14ac:dyDescent="0.25">
      <c r="E55" s="210"/>
      <c r="G55" s="221"/>
      <c r="H55" s="221"/>
      <c r="I55" s="221"/>
      <c r="K55" s="252" t="str">
        <f>IF(($E$7+List1!A29)&lt;=$E$10,$E$7+List1!A29,"")</f>
        <v/>
      </c>
      <c r="L55" s="252"/>
      <c r="M55" s="229"/>
      <c r="N55" s="229"/>
      <c r="O55" s="229"/>
      <c r="P55" s="226" t="str">
        <f t="shared" si="5"/>
        <v/>
      </c>
      <c r="Q55" s="168" t="str">
        <f t="shared" si="6"/>
        <v/>
      </c>
      <c r="R55" s="168" t="str">
        <f t="shared" si="12"/>
        <v/>
      </c>
      <c r="S55" s="177" t="str">
        <f t="shared" si="7"/>
        <v/>
      </c>
      <c r="T55" s="69" t="str">
        <f t="shared" si="2"/>
        <v/>
      </c>
      <c r="U55" s="69" t="str">
        <f t="shared" si="16"/>
        <v/>
      </c>
      <c r="V55" s="69" t="str">
        <f t="shared" si="8"/>
        <v/>
      </c>
      <c r="W55" s="67">
        <f t="shared" si="3"/>
        <v>0</v>
      </c>
      <c r="X55" s="176" t="str">
        <f t="shared" si="9"/>
        <v/>
      </c>
      <c r="Y55" s="224" t="str">
        <f t="shared" si="10"/>
        <v/>
      </c>
      <c r="AA55" s="254" t="str">
        <f t="shared" si="4"/>
        <v/>
      </c>
      <c r="AB55" s="183" t="str">
        <f t="shared" si="11"/>
        <v/>
      </c>
      <c r="AK55"/>
    </row>
    <row r="56" spans="1:46" ht="9.75" customHeight="1" x14ac:dyDescent="0.25">
      <c r="B56" s="392" t="s">
        <v>434</v>
      </c>
      <c r="C56" s="392"/>
      <c r="D56" s="392"/>
      <c r="F56" s="507" t="s">
        <v>135</v>
      </c>
      <c r="G56" s="507"/>
      <c r="H56" s="507"/>
      <c r="I56" s="507"/>
      <c r="K56" s="252" t="str">
        <f>IF(($E$7+List1!A30)&lt;=$E$10,$E$7+List1!A30,"")</f>
        <v/>
      </c>
      <c r="L56" s="252"/>
      <c r="M56" s="229"/>
      <c r="N56" s="229"/>
      <c r="O56" s="229"/>
      <c r="P56" s="226" t="str">
        <f t="shared" ref="P56:P58" si="17">IF(K56&lt;&gt;"",IF(K57&lt;&gt;"",1,$S$10-K56),"")</f>
        <v/>
      </c>
      <c r="Q56" s="168" t="str">
        <f t="shared" ref="Q56:Q58" si="18">IF(OR($E$8&gt;K56,$E$9&lt;K56),"",IF(K56=$E$8,$S$8,K56))</f>
        <v/>
      </c>
      <c r="R56" s="168" t="str">
        <f t="shared" ref="R56:R58" si="19">IF(OR($E$8&gt;K56,$E$9&lt;K56),"",IF(K56=$E$9,$S$9,K56+1))</f>
        <v/>
      </c>
      <c r="S56" s="177" t="str">
        <f t="shared" ref="S56:S58" si="20" xml:space="preserve"> IF(Q56="","",R56-Q56)</f>
        <v/>
      </c>
      <c r="T56" s="69" t="str">
        <f t="shared" ref="T56:T58" si="21">IF(P56&lt;&gt;"",IF(S56&lt;&gt;"",P56-S56,P56),"")</f>
        <v/>
      </c>
      <c r="U56" s="69" t="str">
        <f t="shared" ref="U56:U58" si="22">IF(T56&lt;5/24,S56,IF(S56&lt;=(5/24+0.0000001),"",S56))</f>
        <v/>
      </c>
      <c r="V56" s="69" t="str">
        <f t="shared" ref="V56:V58" si="23">IF(T56&gt;=5/24,IF(S56&lt;=(5/24+0.0000001),T56+S56,T56),T56)</f>
        <v/>
      </c>
      <c r="W56" s="67">
        <f t="shared" ref="W56:W58" si="24">IF($E$11="ne",0,IF(LEFT(M56,1)="A",1,0)+IF(LEFT(N56,1)="A",1,0)+IF(LEFT(O56,1)="A",1,0))</f>
        <v>0</v>
      </c>
      <c r="X56" s="176" t="str">
        <f t="shared" ref="X56:X58" si="25">IF(U56&lt;&gt;"",(IF(U56&lt;(1/24-0.0000001),1,(IF(U56&lt;=12/24,2,IF(U56&lt;=18/24,3,4))))),"")</f>
        <v/>
      </c>
      <c r="Y56" s="224" t="str">
        <f t="shared" ref="Y56:Y58" si="26">IF(V56&lt;&gt;"",(IF(V56&lt;5/24,1,(IF(V56&lt;=12/24,2,IF(V56&lt;=18/24,3,4))))),"")</f>
        <v/>
      </c>
      <c r="AA56" s="254" t="str">
        <f t="shared" ref="AA56:AA58" si="27">IF(Y56&lt;&gt;"",IF(X56="",VLOOKUP(W56,$AO$12:$AS$17,Y56+1,FALSE),VLOOKUP(0,$AO$12:$AS$17,Y56+1)),"")</f>
        <v/>
      </c>
      <c r="AB56" s="183" t="str">
        <f t="shared" ref="AB56:AB58" si="28">IF(X56="","",IF(Y56=1,VLOOKUP(W56,$AO$26:$AS$30,X56+1,FALSE),VLOOKUP(W56,$AO$26:$AS$30,3,FALSE)))</f>
        <v/>
      </c>
    </row>
    <row r="57" spans="1:46" ht="12" customHeight="1" x14ac:dyDescent="0.25">
      <c r="B57" s="506"/>
      <c r="C57" s="506"/>
      <c r="D57" s="506"/>
      <c r="F57" s="426"/>
      <c r="G57" s="426"/>
      <c r="H57" s="426"/>
      <c r="I57" s="426"/>
      <c r="K57" s="252" t="str">
        <f>IF(($E$7+List1!A31)&lt;=$E$10,$E$7+List1!A31,"")</f>
        <v/>
      </c>
      <c r="L57" s="252"/>
      <c r="M57" s="229"/>
      <c r="N57" s="229"/>
      <c r="O57" s="229"/>
      <c r="P57" s="226" t="str">
        <f t="shared" si="17"/>
        <v/>
      </c>
      <c r="Q57" s="168" t="str">
        <f t="shared" si="18"/>
        <v/>
      </c>
      <c r="R57" s="168" t="str">
        <f t="shared" si="19"/>
        <v/>
      </c>
      <c r="S57" s="177" t="str">
        <f t="shared" si="20"/>
        <v/>
      </c>
      <c r="T57" s="69" t="str">
        <f t="shared" si="21"/>
        <v/>
      </c>
      <c r="U57" s="69" t="str">
        <f t="shared" si="22"/>
        <v/>
      </c>
      <c r="V57" s="69" t="str">
        <f t="shared" si="23"/>
        <v/>
      </c>
      <c r="W57" s="67">
        <f t="shared" si="24"/>
        <v>0</v>
      </c>
      <c r="X57" s="176" t="str">
        <f t="shared" si="25"/>
        <v/>
      </c>
      <c r="Y57" s="224" t="str">
        <f t="shared" si="26"/>
        <v/>
      </c>
      <c r="AA57" s="254" t="str">
        <f t="shared" si="27"/>
        <v/>
      </c>
      <c r="AB57" s="183" t="str">
        <f t="shared" si="28"/>
        <v/>
      </c>
    </row>
    <row r="58" spans="1:46" ht="9.75" customHeight="1" x14ac:dyDescent="0.25">
      <c r="K58" s="252" t="str">
        <f>IF(($E$7+List1!A32)&lt;=$E$10,$E$7+List1!A32,"")</f>
        <v/>
      </c>
      <c r="L58" s="252"/>
      <c r="M58" s="229"/>
      <c r="N58" s="229"/>
      <c r="O58" s="229"/>
      <c r="P58" s="226" t="str">
        <f t="shared" si="17"/>
        <v/>
      </c>
      <c r="Q58" s="168" t="str">
        <f t="shared" si="18"/>
        <v/>
      </c>
      <c r="R58" s="168" t="str">
        <f t="shared" si="19"/>
        <v/>
      </c>
      <c r="S58" s="177" t="str">
        <f t="shared" si="20"/>
        <v/>
      </c>
      <c r="T58" s="69" t="str">
        <f t="shared" si="21"/>
        <v/>
      </c>
      <c r="U58" s="69" t="str">
        <f t="shared" si="22"/>
        <v/>
      </c>
      <c r="V58" s="69" t="str">
        <f t="shared" si="23"/>
        <v/>
      </c>
      <c r="W58" s="67">
        <f t="shared" si="24"/>
        <v>0</v>
      </c>
      <c r="X58" s="176" t="str">
        <f t="shared" si="25"/>
        <v/>
      </c>
      <c r="Y58" s="224" t="str">
        <f t="shared" si="26"/>
        <v/>
      </c>
      <c r="AA58" s="254" t="str">
        <f t="shared" si="27"/>
        <v/>
      </c>
      <c r="AB58" s="183" t="str">
        <f t="shared" si="28"/>
        <v/>
      </c>
    </row>
    <row r="59" spans="1:46" ht="9.75" customHeight="1" x14ac:dyDescent="0.25">
      <c r="F59" s="221"/>
      <c r="G59" s="221"/>
      <c r="H59" s="221"/>
      <c r="I59" s="221"/>
    </row>
    <row r="60" spans="1:46" ht="9.75" customHeight="1" x14ac:dyDescent="0.25">
      <c r="B60" s="504" t="s">
        <v>435</v>
      </c>
      <c r="C60" s="504"/>
      <c r="D60" s="504"/>
      <c r="F60" s="502" t="s">
        <v>452</v>
      </c>
      <c r="G60" s="502"/>
      <c r="H60" s="502"/>
      <c r="I60" s="502"/>
      <c r="J60" s="502"/>
    </row>
    <row r="61" spans="1:46" ht="9.75" customHeight="1" x14ac:dyDescent="0.25">
      <c r="B61" s="505"/>
      <c r="C61" s="505"/>
      <c r="D61" s="505"/>
      <c r="F61" s="503"/>
      <c r="G61" s="503"/>
      <c r="H61" s="503"/>
      <c r="I61" s="503"/>
      <c r="J61" s="503"/>
    </row>
    <row r="62" spans="1:46" x14ac:dyDescent="0.25">
      <c r="B62" s="505"/>
      <c r="C62" s="505"/>
      <c r="D62" s="505"/>
      <c r="F62" s="503"/>
      <c r="G62" s="503"/>
      <c r="H62" s="503"/>
      <c r="I62" s="503"/>
      <c r="J62" s="503"/>
    </row>
  </sheetData>
  <sheetProtection algorithmName="SHA-512" hashValue="t8A1GTJk1UOq6paU1RcE5HEq3uPmYmrN+0a3fNlHRGiKoWlPGZc1lFbKZyqzr6owVV2sKeIOJ803CUva6PQwBw==" saltValue="tmaujSKpmYuZukmfsFJKFg==" spinCount="100000" sheet="1" selectLockedCells="1"/>
  <mergeCells count="75">
    <mergeCell ref="F60:J62"/>
    <mergeCell ref="B60:D62"/>
    <mergeCell ref="B56:D57"/>
    <mergeCell ref="B47:I48"/>
    <mergeCell ref="AG5:AG6"/>
    <mergeCell ref="AF5:AF6"/>
    <mergeCell ref="S9:T9"/>
    <mergeCell ref="F56:I57"/>
    <mergeCell ref="B34:I36"/>
    <mergeCell ref="B51:D52"/>
    <mergeCell ref="F51:I51"/>
    <mergeCell ref="B38:G38"/>
    <mergeCell ref="B39:E40"/>
    <mergeCell ref="B42:I44"/>
    <mergeCell ref="B30:G30"/>
    <mergeCell ref="G6:K6"/>
    <mergeCell ref="AM8:AY10"/>
    <mergeCell ref="D26:E26"/>
    <mergeCell ref="D21:E21"/>
    <mergeCell ref="F16:G16"/>
    <mergeCell ref="K11:O11"/>
    <mergeCell ref="M16:O16"/>
    <mergeCell ref="H12:I12"/>
    <mergeCell ref="F17:G17"/>
    <mergeCell ref="B19:O19"/>
    <mergeCell ref="B16:C16"/>
    <mergeCell ref="J16:K16"/>
    <mergeCell ref="J17:K17"/>
    <mergeCell ref="AK29:AM29"/>
    <mergeCell ref="G8:K8"/>
    <mergeCell ref="AF7:AF8"/>
    <mergeCell ref="B10:D10"/>
    <mergeCell ref="AG7:AG8"/>
    <mergeCell ref="G10:K10"/>
    <mergeCell ref="S10:T10"/>
    <mergeCell ref="B21:C24"/>
    <mergeCell ref="B25:C26"/>
    <mergeCell ref="B17:C17"/>
    <mergeCell ref="B29:G29"/>
    <mergeCell ref="K20:O20"/>
    <mergeCell ref="K25:O25"/>
    <mergeCell ref="B7:D7"/>
    <mergeCell ref="B14:D14"/>
    <mergeCell ref="B9:D9"/>
    <mergeCell ref="B3:D3"/>
    <mergeCell ref="E3:K3"/>
    <mergeCell ref="B4:D4"/>
    <mergeCell ref="E4:K4"/>
    <mergeCell ref="G9:M9"/>
    <mergeCell ref="B27:C28"/>
    <mergeCell ref="B20:C20"/>
    <mergeCell ref="J22:J23"/>
    <mergeCell ref="D27:E27"/>
    <mergeCell ref="D28:E28"/>
    <mergeCell ref="D24:E24"/>
    <mergeCell ref="D20:E20"/>
    <mergeCell ref="D22:E22"/>
    <mergeCell ref="D23:E23"/>
    <mergeCell ref="D25:E25"/>
    <mergeCell ref="AT1:AX1"/>
    <mergeCell ref="AA7:AC10"/>
    <mergeCell ref="I1:O1"/>
    <mergeCell ref="B31:G31"/>
    <mergeCell ref="B2:O2"/>
    <mergeCell ref="N4:O4"/>
    <mergeCell ref="B12:D12"/>
    <mergeCell ref="B8:D8"/>
    <mergeCell ref="B11:D11"/>
    <mergeCell ref="N5:O5"/>
    <mergeCell ref="B5:D5"/>
    <mergeCell ref="E5:K5"/>
    <mergeCell ref="G7:K7"/>
    <mergeCell ref="N6:O7"/>
    <mergeCell ref="N10:O10"/>
    <mergeCell ref="N9:O9"/>
  </mergeCells>
  <conditionalFormatting sqref="H12 D21:I21">
    <cfRule type="expression" dxfId="7" priority="9">
      <formula>OR($G$12="",$G$12=0,$E$12&lt;&gt;"VV")</formula>
    </cfRule>
  </conditionalFormatting>
  <conditionalFormatting sqref="K27:O58">
    <cfRule type="expression" dxfId="6" priority="7">
      <formula>$K27=""</formula>
    </cfRule>
  </conditionalFormatting>
  <conditionalFormatting sqref="M27:O58">
    <cfRule type="expression" dxfId="5" priority="6">
      <formula>$E$11="ne"</formula>
    </cfRule>
  </conditionalFormatting>
  <conditionalFormatting sqref="B16:K17">
    <cfRule type="expression" dxfId="4" priority="5">
      <formula>$E$14="ne"</formula>
    </cfRule>
  </conditionalFormatting>
  <conditionalFormatting sqref="E9:E10">
    <cfRule type="expression" dxfId="3" priority="2">
      <formula>S9&lt;S8</formula>
    </cfRule>
  </conditionalFormatting>
  <dataValidations count="1">
    <dataValidation type="list" allowBlank="1" showInputMessage="1" showErrorMessage="1" sqref="AL6" xr:uid="{95448C1D-79DF-404A-AF94-AF352494C2EE}">
      <formula1>$AK$17:$AK$20</formula1>
    </dataValidation>
  </dataValidations>
  <pageMargins left="0.27559055118110237" right="0.27559055118110237" top="0.19685039370078741" bottom="0.39370078740157483" header="0.31496062992125984" footer="0.19685039370078741"/>
  <pageSetup paperSize="9" orientation="portrait" r:id="rId1"/>
  <headerFooter>
    <oddFooter xml:space="preserve">&amp;L&amp;7Univerzita Karlova Právnická fakulta 
nám. Curieových 901/7
116 40  Praha 1&amp;C&amp;7IČO: 00216208 
 DIČ: CZ00216208&amp;R&amp;7v. 2022.10&amp;11
</oddFoot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9" id="{777DB03D-41AD-474A-8EBD-C4BBE4FC3AAE}">
            <xm:f>$E$16&gt;MAX('Kurzy CNB'!A2:A531)</xm:f>
            <x14:dxf>
              <font>
                <color rgb="FFFF0000"/>
              </font>
            </x14:dxf>
          </x14:cfRule>
          <xm:sqref>E16</xm:sqref>
        </x14:conditionalFormatting>
        <x14:conditionalFormatting xmlns:xm="http://schemas.microsoft.com/office/excel/2006/main">
          <x14:cfRule type="expression" priority="90" id="{2A0CB220-58B9-456C-97D5-D004CB83349C}">
            <xm:f>$E$7&gt;MAX('Kurzy CNB'!A2:A531)</xm:f>
            <x14:dxf>
              <font>
                <color rgb="FFFF0000"/>
              </font>
            </x14:dxf>
          </x14:cfRule>
          <xm:sqref>E7:E8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">
        <x14:dataValidation type="list" errorTitle="Chybně zadaný čas" error="Zadejte čas ve tvaru &quot;hh:mm&quot;. Např.  14:35, max. hodnota je 23:59" promptTitle="Čas" xr:uid="{72A0681A-BF2A-4A0C-829A-CFFCC7BBE4CB}">
          <x14:formula1>
            <xm:f>List1!$K$2:$K$3</xm:f>
          </x14:formula1>
          <xm:sqref>E11</xm:sqref>
        </x14:dataValidation>
        <x14:dataValidation type="list" allowBlank="1" errorTitle="Chybně zadaný čas" error="Zadejte čas ve tvaru &quot;hh:mm&quot;. Např.  14:35, max. hodnota je 23:59" promptTitle="Čas" prompt="Zadejte čas odjezdu nebo příjezdu ve tvaru hh:mm" xr:uid="{FDA50A86-D8DD-4CDD-AFDC-3BF57AF403E5}">
          <x14:formula1>
            <xm:f>List1!$K$2:$K$3</xm:f>
          </x14:formula1>
          <xm:sqref>E14</xm:sqref>
        </x14:dataValidation>
        <x14:dataValidation type="list" allowBlank="1" showInputMessage="1" showErrorMessage="1" xr:uid="{30900302-463B-4F03-ABC8-52042C347C9F}">
          <x14:formula1>
            <xm:f>List1!$K$2:$K$3</xm:f>
          </x14:formula1>
          <xm:sqref>E11 E14 M27:O58</xm:sqref>
        </x14:dataValidation>
        <x14:dataValidation type="list" allowBlank="1" errorTitle="Chybně zadaný čas" error="Zadejte čas ve tvaru &quot;hh:mm&quot;. Např.  14:35, max. hodnota je 23:59" promptTitle="Čas" prompt="Zadejte čas odjezdu nebo příjezdu ve tvaru hh:mm" xr:uid="{D832EA97-FA78-4657-8658-7C8D0EA5408D}">
          <x14:formula1>
            <xm:f>List1!$B$3:$B$11</xm:f>
          </x14:formula1>
          <xm:sqref>E12</xm:sqref>
        </x14:dataValidation>
        <x14:dataValidation type="list" allowBlank="1" showInputMessage="1" showErrorMessage="1" xr:uid="{480D3B04-FCA3-46D7-9A98-B8CB5562C751}">
          <x14:formula1>
            <xm:f>List1!$V$3:$V$180</xm:f>
          </x14:formula1>
          <xm:sqref>N5:O5</xm:sqref>
        </x14:dataValidation>
        <x14:dataValidation type="list" allowBlank="1" showInputMessage="1" showErrorMessage="1" xr:uid="{0F63D9C9-A70B-4A0F-9236-81E8F7238D8D}">
          <x14:formula1>
            <xm:f>List1!$S$3:$S$36</xm:f>
          </x14:formula1>
          <xm:sqref>F22:F28 AM12 M17 M12:M14</xm:sqref>
        </x14:dataValidation>
        <x14:dataValidation type="list" allowBlank="1" showInputMessage="1" showErrorMessage="1" xr:uid="{8185AB66-BA3C-47D2-ABCB-4F8F6E8CD719}">
          <x14:formula1>
            <xm:f>List1!$R$3:$R$7</xm:f>
          </x14:formula1>
          <xm:sqref>H31 H16:H17 J18:J19</xm:sqref>
        </x14:dataValidation>
        <x14:dataValidation type="list" allowBlank="1" showInputMessage="1" showErrorMessage="1" xr:uid="{939F244A-9012-45AE-9C88-346967942B09}">
          <x14:formula1>
            <xm:f>List1!$B$3:$B$11</xm:f>
          </x14:formula1>
          <xm:sqref>E12</xm:sqref>
        </x14:dataValidation>
        <x14:dataValidation type="date" allowBlank="1" showInputMessage="1" showErrorMessage="1" errorTitle="Chybně zadaný datum" promptTitle="datum" prompt="Zadejte datum" xr:uid="{BF382A48-733D-402F-ACBC-2B22C28B9D20}">
          <x14:formula1>
            <xm:f>List1!H1-366</xm:f>
          </x14:formula1>
          <x14:formula2>
            <xm:f>List1!H2</xm:f>
          </x14:formula2>
          <xm:sqref>E16:E17</xm:sqref>
        </x14:dataValidation>
        <x14:dataValidation type="date" allowBlank="1" showInputMessage="1" showErrorMessage="1" xr:uid="{C1CA9B96-54D9-4564-988C-48FCFE1B0C8D}">
          <x14:formula1>
            <xm:f>List1!H1</xm:f>
          </x14:formula1>
          <x14:formula2>
            <xm:f>List1!H2</xm:f>
          </x14:formula2>
          <xm:sqref>E7:E10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31803-F2AC-480B-B452-A466FD15BAD7}">
  <sheetPr codeName="List6">
    <pageSetUpPr fitToPage="1"/>
  </sheetPr>
  <dimension ref="B1:AC53"/>
  <sheetViews>
    <sheetView showGridLines="0" showWhiteSpace="0" zoomScaleNormal="100" zoomScaleSheetLayoutView="115" zoomScalePageLayoutView="130" workbookViewId="0">
      <selection activeCell="F16" sqref="F16:G16"/>
    </sheetView>
  </sheetViews>
  <sheetFormatPr defaultRowHeight="15" x14ac:dyDescent="0.25"/>
  <cols>
    <col min="1" max="1" width="0.7109375" style="125" customWidth="1"/>
    <col min="2" max="2" width="8.140625" style="125" customWidth="1"/>
    <col min="3" max="3" width="10.5703125" style="125" customWidth="1"/>
    <col min="4" max="4" width="9.5703125" style="125" customWidth="1"/>
    <col min="5" max="5" width="2.5703125" style="125" customWidth="1"/>
    <col min="6" max="6" width="5.28515625" style="125" customWidth="1"/>
    <col min="7" max="7" width="6.28515625" style="125" customWidth="1"/>
    <col min="8" max="8" width="2.42578125" style="125" customWidth="1"/>
    <col min="9" max="9" width="5.5703125" style="125" customWidth="1"/>
    <col min="10" max="10" width="5.7109375" style="125" customWidth="1"/>
    <col min="11" max="11" width="7" style="125" customWidth="1"/>
    <col min="12" max="12" width="6.7109375" style="125" customWidth="1"/>
    <col min="13" max="13" width="7.5703125" style="125" customWidth="1"/>
    <col min="14" max="14" width="6.140625" style="125" customWidth="1"/>
    <col min="15" max="15" width="4.28515625" style="125" customWidth="1"/>
    <col min="16" max="16" width="5.140625" style="125" customWidth="1"/>
    <col min="17" max="17" width="1.5703125" style="125" customWidth="1"/>
    <col min="18" max="18" width="0.5703125" style="125" customWidth="1"/>
    <col min="19" max="19" width="0.7109375" style="125" hidden="1" customWidth="1"/>
    <col min="20" max="20" width="16.42578125" style="126" customWidth="1"/>
    <col min="21" max="22" width="11.7109375" style="126" customWidth="1"/>
    <col min="23" max="23" width="18.140625" style="126" customWidth="1"/>
    <col min="24" max="28" width="11.7109375" style="126" hidden="1" customWidth="1"/>
    <col min="29" max="29" width="11.7109375" style="126" customWidth="1"/>
    <col min="30" max="261" width="9.140625" style="125"/>
    <col min="262" max="262" width="6.28515625" style="125" customWidth="1"/>
    <col min="263" max="263" width="5.140625" style="125" customWidth="1"/>
    <col min="264" max="264" width="8.5703125" style="125" customWidth="1"/>
    <col min="265" max="265" width="6.5703125" style="125" customWidth="1"/>
    <col min="266" max="266" width="7.28515625" style="125" customWidth="1"/>
    <col min="267" max="267" width="4.85546875" style="125" customWidth="1"/>
    <col min="268" max="268" width="5.85546875" style="125" customWidth="1"/>
    <col min="269" max="271" width="6.140625" style="125" customWidth="1"/>
    <col min="272" max="272" width="6.5703125" style="125" customWidth="1"/>
    <col min="273" max="273" width="6.7109375" style="125" customWidth="1"/>
    <col min="274" max="274" width="6.140625" style="125" customWidth="1"/>
    <col min="275" max="275" width="7.42578125" style="125" customWidth="1"/>
    <col min="276" max="276" width="7.140625" style="125" customWidth="1"/>
    <col min="277" max="517" width="9.140625" style="125"/>
    <col min="518" max="518" width="6.28515625" style="125" customWidth="1"/>
    <col min="519" max="519" width="5.140625" style="125" customWidth="1"/>
    <col min="520" max="520" width="8.5703125" style="125" customWidth="1"/>
    <col min="521" max="521" width="6.5703125" style="125" customWidth="1"/>
    <col min="522" max="522" width="7.28515625" style="125" customWidth="1"/>
    <col min="523" max="523" width="4.85546875" style="125" customWidth="1"/>
    <col min="524" max="524" width="5.85546875" style="125" customWidth="1"/>
    <col min="525" max="527" width="6.140625" style="125" customWidth="1"/>
    <col min="528" max="528" width="6.5703125" style="125" customWidth="1"/>
    <col min="529" max="529" width="6.7109375" style="125" customWidth="1"/>
    <col min="530" max="530" width="6.140625" style="125" customWidth="1"/>
    <col min="531" max="531" width="7.42578125" style="125" customWidth="1"/>
    <col min="532" max="532" width="7.140625" style="125" customWidth="1"/>
    <col min="533" max="773" width="9.140625" style="125"/>
    <col min="774" max="774" width="6.28515625" style="125" customWidth="1"/>
    <col min="775" max="775" width="5.140625" style="125" customWidth="1"/>
    <col min="776" max="776" width="8.5703125" style="125" customWidth="1"/>
    <col min="777" max="777" width="6.5703125" style="125" customWidth="1"/>
    <col min="778" max="778" width="7.28515625" style="125" customWidth="1"/>
    <col min="779" max="779" width="4.85546875" style="125" customWidth="1"/>
    <col min="780" max="780" width="5.85546875" style="125" customWidth="1"/>
    <col min="781" max="783" width="6.140625" style="125" customWidth="1"/>
    <col min="784" max="784" width="6.5703125" style="125" customWidth="1"/>
    <col min="785" max="785" width="6.7109375" style="125" customWidth="1"/>
    <col min="786" max="786" width="6.140625" style="125" customWidth="1"/>
    <col min="787" max="787" width="7.42578125" style="125" customWidth="1"/>
    <col min="788" max="788" width="7.140625" style="125" customWidth="1"/>
    <col min="789" max="1029" width="9.140625" style="125"/>
    <col min="1030" max="1030" width="6.28515625" style="125" customWidth="1"/>
    <col min="1031" max="1031" width="5.140625" style="125" customWidth="1"/>
    <col min="1032" max="1032" width="8.5703125" style="125" customWidth="1"/>
    <col min="1033" max="1033" width="6.5703125" style="125" customWidth="1"/>
    <col min="1034" max="1034" width="7.28515625" style="125" customWidth="1"/>
    <col min="1035" max="1035" width="4.85546875" style="125" customWidth="1"/>
    <col min="1036" max="1036" width="5.85546875" style="125" customWidth="1"/>
    <col min="1037" max="1039" width="6.140625" style="125" customWidth="1"/>
    <col min="1040" max="1040" width="6.5703125" style="125" customWidth="1"/>
    <col min="1041" max="1041" width="6.7109375" style="125" customWidth="1"/>
    <col min="1042" max="1042" width="6.140625" style="125" customWidth="1"/>
    <col min="1043" max="1043" width="7.42578125" style="125" customWidth="1"/>
    <col min="1044" max="1044" width="7.140625" style="125" customWidth="1"/>
    <col min="1045" max="1285" width="9.140625" style="125"/>
    <col min="1286" max="1286" width="6.28515625" style="125" customWidth="1"/>
    <col min="1287" max="1287" width="5.140625" style="125" customWidth="1"/>
    <col min="1288" max="1288" width="8.5703125" style="125" customWidth="1"/>
    <col min="1289" max="1289" width="6.5703125" style="125" customWidth="1"/>
    <col min="1290" max="1290" width="7.28515625" style="125" customWidth="1"/>
    <col min="1291" max="1291" width="4.85546875" style="125" customWidth="1"/>
    <col min="1292" max="1292" width="5.85546875" style="125" customWidth="1"/>
    <col min="1293" max="1295" width="6.140625" style="125" customWidth="1"/>
    <col min="1296" max="1296" width="6.5703125" style="125" customWidth="1"/>
    <col min="1297" max="1297" width="6.7109375" style="125" customWidth="1"/>
    <col min="1298" max="1298" width="6.140625" style="125" customWidth="1"/>
    <col min="1299" max="1299" width="7.42578125" style="125" customWidth="1"/>
    <col min="1300" max="1300" width="7.140625" style="125" customWidth="1"/>
    <col min="1301" max="1541" width="9.140625" style="125"/>
    <col min="1542" max="1542" width="6.28515625" style="125" customWidth="1"/>
    <col min="1543" max="1543" width="5.140625" style="125" customWidth="1"/>
    <col min="1544" max="1544" width="8.5703125" style="125" customWidth="1"/>
    <col min="1545" max="1545" width="6.5703125" style="125" customWidth="1"/>
    <col min="1546" max="1546" width="7.28515625" style="125" customWidth="1"/>
    <col min="1547" max="1547" width="4.85546875" style="125" customWidth="1"/>
    <col min="1548" max="1548" width="5.85546875" style="125" customWidth="1"/>
    <col min="1549" max="1551" width="6.140625" style="125" customWidth="1"/>
    <col min="1552" max="1552" width="6.5703125" style="125" customWidth="1"/>
    <col min="1553" max="1553" width="6.7109375" style="125" customWidth="1"/>
    <col min="1554" max="1554" width="6.140625" style="125" customWidth="1"/>
    <col min="1555" max="1555" width="7.42578125" style="125" customWidth="1"/>
    <col min="1556" max="1556" width="7.140625" style="125" customWidth="1"/>
    <col min="1557" max="1797" width="9.140625" style="125"/>
    <col min="1798" max="1798" width="6.28515625" style="125" customWidth="1"/>
    <col min="1799" max="1799" width="5.140625" style="125" customWidth="1"/>
    <col min="1800" max="1800" width="8.5703125" style="125" customWidth="1"/>
    <col min="1801" max="1801" width="6.5703125" style="125" customWidth="1"/>
    <col min="1802" max="1802" width="7.28515625" style="125" customWidth="1"/>
    <col min="1803" max="1803" width="4.85546875" style="125" customWidth="1"/>
    <col min="1804" max="1804" width="5.85546875" style="125" customWidth="1"/>
    <col min="1805" max="1807" width="6.140625" style="125" customWidth="1"/>
    <col min="1808" max="1808" width="6.5703125" style="125" customWidth="1"/>
    <col min="1809" max="1809" width="6.7109375" style="125" customWidth="1"/>
    <col min="1810" max="1810" width="6.140625" style="125" customWidth="1"/>
    <col min="1811" max="1811" width="7.42578125" style="125" customWidth="1"/>
    <col min="1812" max="1812" width="7.140625" style="125" customWidth="1"/>
    <col min="1813" max="2053" width="9.140625" style="125"/>
    <col min="2054" max="2054" width="6.28515625" style="125" customWidth="1"/>
    <col min="2055" max="2055" width="5.140625" style="125" customWidth="1"/>
    <col min="2056" max="2056" width="8.5703125" style="125" customWidth="1"/>
    <col min="2057" max="2057" width="6.5703125" style="125" customWidth="1"/>
    <col min="2058" max="2058" width="7.28515625" style="125" customWidth="1"/>
    <col min="2059" max="2059" width="4.85546875" style="125" customWidth="1"/>
    <col min="2060" max="2060" width="5.85546875" style="125" customWidth="1"/>
    <col min="2061" max="2063" width="6.140625" style="125" customWidth="1"/>
    <col min="2064" max="2064" width="6.5703125" style="125" customWidth="1"/>
    <col min="2065" max="2065" width="6.7109375" style="125" customWidth="1"/>
    <col min="2066" max="2066" width="6.140625" style="125" customWidth="1"/>
    <col min="2067" max="2067" width="7.42578125" style="125" customWidth="1"/>
    <col min="2068" max="2068" width="7.140625" style="125" customWidth="1"/>
    <col min="2069" max="2309" width="9.140625" style="125"/>
    <col min="2310" max="2310" width="6.28515625" style="125" customWidth="1"/>
    <col min="2311" max="2311" width="5.140625" style="125" customWidth="1"/>
    <col min="2312" max="2312" width="8.5703125" style="125" customWidth="1"/>
    <col min="2313" max="2313" width="6.5703125" style="125" customWidth="1"/>
    <col min="2314" max="2314" width="7.28515625" style="125" customWidth="1"/>
    <col min="2315" max="2315" width="4.85546875" style="125" customWidth="1"/>
    <col min="2316" max="2316" width="5.85546875" style="125" customWidth="1"/>
    <col min="2317" max="2319" width="6.140625" style="125" customWidth="1"/>
    <col min="2320" max="2320" width="6.5703125" style="125" customWidth="1"/>
    <col min="2321" max="2321" width="6.7109375" style="125" customWidth="1"/>
    <col min="2322" max="2322" width="6.140625" style="125" customWidth="1"/>
    <col min="2323" max="2323" width="7.42578125" style="125" customWidth="1"/>
    <col min="2324" max="2324" width="7.140625" style="125" customWidth="1"/>
    <col min="2325" max="2565" width="9.140625" style="125"/>
    <col min="2566" max="2566" width="6.28515625" style="125" customWidth="1"/>
    <col min="2567" max="2567" width="5.140625" style="125" customWidth="1"/>
    <col min="2568" max="2568" width="8.5703125" style="125" customWidth="1"/>
    <col min="2569" max="2569" width="6.5703125" style="125" customWidth="1"/>
    <col min="2570" max="2570" width="7.28515625" style="125" customWidth="1"/>
    <col min="2571" max="2571" width="4.85546875" style="125" customWidth="1"/>
    <col min="2572" max="2572" width="5.85546875" style="125" customWidth="1"/>
    <col min="2573" max="2575" width="6.140625" style="125" customWidth="1"/>
    <col min="2576" max="2576" width="6.5703125" style="125" customWidth="1"/>
    <col min="2577" max="2577" width="6.7109375" style="125" customWidth="1"/>
    <col min="2578" max="2578" width="6.140625" style="125" customWidth="1"/>
    <col min="2579" max="2579" width="7.42578125" style="125" customWidth="1"/>
    <col min="2580" max="2580" width="7.140625" style="125" customWidth="1"/>
    <col min="2581" max="2821" width="9.140625" style="125"/>
    <col min="2822" max="2822" width="6.28515625" style="125" customWidth="1"/>
    <col min="2823" max="2823" width="5.140625" style="125" customWidth="1"/>
    <col min="2824" max="2824" width="8.5703125" style="125" customWidth="1"/>
    <col min="2825" max="2825" width="6.5703125" style="125" customWidth="1"/>
    <col min="2826" max="2826" width="7.28515625" style="125" customWidth="1"/>
    <col min="2827" max="2827" width="4.85546875" style="125" customWidth="1"/>
    <col min="2828" max="2828" width="5.85546875" style="125" customWidth="1"/>
    <col min="2829" max="2831" width="6.140625" style="125" customWidth="1"/>
    <col min="2832" max="2832" width="6.5703125" style="125" customWidth="1"/>
    <col min="2833" max="2833" width="6.7109375" style="125" customWidth="1"/>
    <col min="2834" max="2834" width="6.140625" style="125" customWidth="1"/>
    <col min="2835" max="2835" width="7.42578125" style="125" customWidth="1"/>
    <col min="2836" max="2836" width="7.140625" style="125" customWidth="1"/>
    <col min="2837" max="3077" width="9.140625" style="125"/>
    <col min="3078" max="3078" width="6.28515625" style="125" customWidth="1"/>
    <col min="3079" max="3079" width="5.140625" style="125" customWidth="1"/>
    <col min="3080" max="3080" width="8.5703125" style="125" customWidth="1"/>
    <col min="3081" max="3081" width="6.5703125" style="125" customWidth="1"/>
    <col min="3082" max="3082" width="7.28515625" style="125" customWidth="1"/>
    <col min="3083" max="3083" width="4.85546875" style="125" customWidth="1"/>
    <col min="3084" max="3084" width="5.85546875" style="125" customWidth="1"/>
    <col min="3085" max="3087" width="6.140625" style="125" customWidth="1"/>
    <col min="3088" max="3088" width="6.5703125" style="125" customWidth="1"/>
    <col min="3089" max="3089" width="6.7109375" style="125" customWidth="1"/>
    <col min="3090" max="3090" width="6.140625" style="125" customWidth="1"/>
    <col min="3091" max="3091" width="7.42578125" style="125" customWidth="1"/>
    <col min="3092" max="3092" width="7.140625" style="125" customWidth="1"/>
    <col min="3093" max="3333" width="9.140625" style="125"/>
    <col min="3334" max="3334" width="6.28515625" style="125" customWidth="1"/>
    <col min="3335" max="3335" width="5.140625" style="125" customWidth="1"/>
    <col min="3336" max="3336" width="8.5703125" style="125" customWidth="1"/>
    <col min="3337" max="3337" width="6.5703125" style="125" customWidth="1"/>
    <col min="3338" max="3338" width="7.28515625" style="125" customWidth="1"/>
    <col min="3339" max="3339" width="4.85546875" style="125" customWidth="1"/>
    <col min="3340" max="3340" width="5.85546875" style="125" customWidth="1"/>
    <col min="3341" max="3343" width="6.140625" style="125" customWidth="1"/>
    <col min="3344" max="3344" width="6.5703125" style="125" customWidth="1"/>
    <col min="3345" max="3345" width="6.7109375" style="125" customWidth="1"/>
    <col min="3346" max="3346" width="6.140625" style="125" customWidth="1"/>
    <col min="3347" max="3347" width="7.42578125" style="125" customWidth="1"/>
    <col min="3348" max="3348" width="7.140625" style="125" customWidth="1"/>
    <col min="3349" max="3589" width="9.140625" style="125"/>
    <col min="3590" max="3590" width="6.28515625" style="125" customWidth="1"/>
    <col min="3591" max="3591" width="5.140625" style="125" customWidth="1"/>
    <col min="3592" max="3592" width="8.5703125" style="125" customWidth="1"/>
    <col min="3593" max="3593" width="6.5703125" style="125" customWidth="1"/>
    <col min="3594" max="3594" width="7.28515625" style="125" customWidth="1"/>
    <col min="3595" max="3595" width="4.85546875" style="125" customWidth="1"/>
    <col min="3596" max="3596" width="5.85546875" style="125" customWidth="1"/>
    <col min="3597" max="3599" width="6.140625" style="125" customWidth="1"/>
    <col min="3600" max="3600" width="6.5703125" style="125" customWidth="1"/>
    <col min="3601" max="3601" width="6.7109375" style="125" customWidth="1"/>
    <col min="3602" max="3602" width="6.140625" style="125" customWidth="1"/>
    <col min="3603" max="3603" width="7.42578125" style="125" customWidth="1"/>
    <col min="3604" max="3604" width="7.140625" style="125" customWidth="1"/>
    <col min="3605" max="3845" width="9.140625" style="125"/>
    <col min="3846" max="3846" width="6.28515625" style="125" customWidth="1"/>
    <col min="3847" max="3847" width="5.140625" style="125" customWidth="1"/>
    <col min="3848" max="3848" width="8.5703125" style="125" customWidth="1"/>
    <col min="3849" max="3849" width="6.5703125" style="125" customWidth="1"/>
    <col min="3850" max="3850" width="7.28515625" style="125" customWidth="1"/>
    <col min="3851" max="3851" width="4.85546875" style="125" customWidth="1"/>
    <col min="3852" max="3852" width="5.85546875" style="125" customWidth="1"/>
    <col min="3853" max="3855" width="6.140625" style="125" customWidth="1"/>
    <col min="3856" max="3856" width="6.5703125" style="125" customWidth="1"/>
    <col min="3857" max="3857" width="6.7109375" style="125" customWidth="1"/>
    <col min="3858" max="3858" width="6.140625" style="125" customWidth="1"/>
    <col min="3859" max="3859" width="7.42578125" style="125" customWidth="1"/>
    <col min="3860" max="3860" width="7.140625" style="125" customWidth="1"/>
    <col min="3861" max="4101" width="9.140625" style="125"/>
    <col min="4102" max="4102" width="6.28515625" style="125" customWidth="1"/>
    <col min="4103" max="4103" width="5.140625" style="125" customWidth="1"/>
    <col min="4104" max="4104" width="8.5703125" style="125" customWidth="1"/>
    <col min="4105" max="4105" width="6.5703125" style="125" customWidth="1"/>
    <col min="4106" max="4106" width="7.28515625" style="125" customWidth="1"/>
    <col min="4107" max="4107" width="4.85546875" style="125" customWidth="1"/>
    <col min="4108" max="4108" width="5.85546875" style="125" customWidth="1"/>
    <col min="4109" max="4111" width="6.140625" style="125" customWidth="1"/>
    <col min="4112" max="4112" width="6.5703125" style="125" customWidth="1"/>
    <col min="4113" max="4113" width="6.7109375" style="125" customWidth="1"/>
    <col min="4114" max="4114" width="6.140625" style="125" customWidth="1"/>
    <col min="4115" max="4115" width="7.42578125" style="125" customWidth="1"/>
    <col min="4116" max="4116" width="7.140625" style="125" customWidth="1"/>
    <col min="4117" max="4357" width="9.140625" style="125"/>
    <col min="4358" max="4358" width="6.28515625" style="125" customWidth="1"/>
    <col min="4359" max="4359" width="5.140625" style="125" customWidth="1"/>
    <col min="4360" max="4360" width="8.5703125" style="125" customWidth="1"/>
    <col min="4361" max="4361" width="6.5703125" style="125" customWidth="1"/>
    <col min="4362" max="4362" width="7.28515625" style="125" customWidth="1"/>
    <col min="4363" max="4363" width="4.85546875" style="125" customWidth="1"/>
    <col min="4364" max="4364" width="5.85546875" style="125" customWidth="1"/>
    <col min="4365" max="4367" width="6.140625" style="125" customWidth="1"/>
    <col min="4368" max="4368" width="6.5703125" style="125" customWidth="1"/>
    <col min="4369" max="4369" width="6.7109375" style="125" customWidth="1"/>
    <col min="4370" max="4370" width="6.140625" style="125" customWidth="1"/>
    <col min="4371" max="4371" width="7.42578125" style="125" customWidth="1"/>
    <col min="4372" max="4372" width="7.140625" style="125" customWidth="1"/>
    <col min="4373" max="4613" width="9.140625" style="125"/>
    <col min="4614" max="4614" width="6.28515625" style="125" customWidth="1"/>
    <col min="4615" max="4615" width="5.140625" style="125" customWidth="1"/>
    <col min="4616" max="4616" width="8.5703125" style="125" customWidth="1"/>
    <col min="4617" max="4617" width="6.5703125" style="125" customWidth="1"/>
    <col min="4618" max="4618" width="7.28515625" style="125" customWidth="1"/>
    <col min="4619" max="4619" width="4.85546875" style="125" customWidth="1"/>
    <col min="4620" max="4620" width="5.85546875" style="125" customWidth="1"/>
    <col min="4621" max="4623" width="6.140625" style="125" customWidth="1"/>
    <col min="4624" max="4624" width="6.5703125" style="125" customWidth="1"/>
    <col min="4625" max="4625" width="6.7109375" style="125" customWidth="1"/>
    <col min="4626" max="4626" width="6.140625" style="125" customWidth="1"/>
    <col min="4627" max="4627" width="7.42578125" style="125" customWidth="1"/>
    <col min="4628" max="4628" width="7.140625" style="125" customWidth="1"/>
    <col min="4629" max="4869" width="9.140625" style="125"/>
    <col min="4870" max="4870" width="6.28515625" style="125" customWidth="1"/>
    <col min="4871" max="4871" width="5.140625" style="125" customWidth="1"/>
    <col min="4872" max="4872" width="8.5703125" style="125" customWidth="1"/>
    <col min="4873" max="4873" width="6.5703125" style="125" customWidth="1"/>
    <col min="4874" max="4874" width="7.28515625" style="125" customWidth="1"/>
    <col min="4875" max="4875" width="4.85546875" style="125" customWidth="1"/>
    <col min="4876" max="4876" width="5.85546875" style="125" customWidth="1"/>
    <col min="4877" max="4879" width="6.140625" style="125" customWidth="1"/>
    <col min="4880" max="4880" width="6.5703125" style="125" customWidth="1"/>
    <col min="4881" max="4881" width="6.7109375" style="125" customWidth="1"/>
    <col min="4882" max="4882" width="6.140625" style="125" customWidth="1"/>
    <col min="4883" max="4883" width="7.42578125" style="125" customWidth="1"/>
    <col min="4884" max="4884" width="7.140625" style="125" customWidth="1"/>
    <col min="4885" max="5125" width="9.140625" style="125"/>
    <col min="5126" max="5126" width="6.28515625" style="125" customWidth="1"/>
    <col min="5127" max="5127" width="5.140625" style="125" customWidth="1"/>
    <col min="5128" max="5128" width="8.5703125" style="125" customWidth="1"/>
    <col min="5129" max="5129" width="6.5703125" style="125" customWidth="1"/>
    <col min="5130" max="5130" width="7.28515625" style="125" customWidth="1"/>
    <col min="5131" max="5131" width="4.85546875" style="125" customWidth="1"/>
    <col min="5132" max="5132" width="5.85546875" style="125" customWidth="1"/>
    <col min="5133" max="5135" width="6.140625" style="125" customWidth="1"/>
    <col min="5136" max="5136" width="6.5703125" style="125" customWidth="1"/>
    <col min="5137" max="5137" width="6.7109375" style="125" customWidth="1"/>
    <col min="5138" max="5138" width="6.140625" style="125" customWidth="1"/>
    <col min="5139" max="5139" width="7.42578125" style="125" customWidth="1"/>
    <col min="5140" max="5140" width="7.140625" style="125" customWidth="1"/>
    <col min="5141" max="5381" width="9.140625" style="125"/>
    <col min="5382" max="5382" width="6.28515625" style="125" customWidth="1"/>
    <col min="5383" max="5383" width="5.140625" style="125" customWidth="1"/>
    <col min="5384" max="5384" width="8.5703125" style="125" customWidth="1"/>
    <col min="5385" max="5385" width="6.5703125" style="125" customWidth="1"/>
    <col min="5386" max="5386" width="7.28515625" style="125" customWidth="1"/>
    <col min="5387" max="5387" width="4.85546875" style="125" customWidth="1"/>
    <col min="5388" max="5388" width="5.85546875" style="125" customWidth="1"/>
    <col min="5389" max="5391" width="6.140625" style="125" customWidth="1"/>
    <col min="5392" max="5392" width="6.5703125" style="125" customWidth="1"/>
    <col min="5393" max="5393" width="6.7109375" style="125" customWidth="1"/>
    <col min="5394" max="5394" width="6.140625" style="125" customWidth="1"/>
    <col min="5395" max="5395" width="7.42578125" style="125" customWidth="1"/>
    <col min="5396" max="5396" width="7.140625" style="125" customWidth="1"/>
    <col min="5397" max="5637" width="9.140625" style="125"/>
    <col min="5638" max="5638" width="6.28515625" style="125" customWidth="1"/>
    <col min="5639" max="5639" width="5.140625" style="125" customWidth="1"/>
    <col min="5640" max="5640" width="8.5703125" style="125" customWidth="1"/>
    <col min="5641" max="5641" width="6.5703125" style="125" customWidth="1"/>
    <col min="5642" max="5642" width="7.28515625" style="125" customWidth="1"/>
    <col min="5643" max="5643" width="4.85546875" style="125" customWidth="1"/>
    <col min="5644" max="5644" width="5.85546875" style="125" customWidth="1"/>
    <col min="5645" max="5647" width="6.140625" style="125" customWidth="1"/>
    <col min="5648" max="5648" width="6.5703125" style="125" customWidth="1"/>
    <col min="5649" max="5649" width="6.7109375" style="125" customWidth="1"/>
    <col min="5650" max="5650" width="6.140625" style="125" customWidth="1"/>
    <col min="5651" max="5651" width="7.42578125" style="125" customWidth="1"/>
    <col min="5652" max="5652" width="7.140625" style="125" customWidth="1"/>
    <col min="5653" max="5893" width="9.140625" style="125"/>
    <col min="5894" max="5894" width="6.28515625" style="125" customWidth="1"/>
    <col min="5895" max="5895" width="5.140625" style="125" customWidth="1"/>
    <col min="5896" max="5896" width="8.5703125" style="125" customWidth="1"/>
    <col min="5897" max="5897" width="6.5703125" style="125" customWidth="1"/>
    <col min="5898" max="5898" width="7.28515625" style="125" customWidth="1"/>
    <col min="5899" max="5899" width="4.85546875" style="125" customWidth="1"/>
    <col min="5900" max="5900" width="5.85546875" style="125" customWidth="1"/>
    <col min="5901" max="5903" width="6.140625" style="125" customWidth="1"/>
    <col min="5904" max="5904" width="6.5703125" style="125" customWidth="1"/>
    <col min="5905" max="5905" width="6.7109375" style="125" customWidth="1"/>
    <col min="5906" max="5906" width="6.140625" style="125" customWidth="1"/>
    <col min="5907" max="5907" width="7.42578125" style="125" customWidth="1"/>
    <col min="5908" max="5908" width="7.140625" style="125" customWidth="1"/>
    <col min="5909" max="6149" width="9.140625" style="125"/>
    <col min="6150" max="6150" width="6.28515625" style="125" customWidth="1"/>
    <col min="6151" max="6151" width="5.140625" style="125" customWidth="1"/>
    <col min="6152" max="6152" width="8.5703125" style="125" customWidth="1"/>
    <col min="6153" max="6153" width="6.5703125" style="125" customWidth="1"/>
    <col min="6154" max="6154" width="7.28515625" style="125" customWidth="1"/>
    <col min="6155" max="6155" width="4.85546875" style="125" customWidth="1"/>
    <col min="6156" max="6156" width="5.85546875" style="125" customWidth="1"/>
    <col min="6157" max="6159" width="6.140625" style="125" customWidth="1"/>
    <col min="6160" max="6160" width="6.5703125" style="125" customWidth="1"/>
    <col min="6161" max="6161" width="6.7109375" style="125" customWidth="1"/>
    <col min="6162" max="6162" width="6.140625" style="125" customWidth="1"/>
    <col min="6163" max="6163" width="7.42578125" style="125" customWidth="1"/>
    <col min="6164" max="6164" width="7.140625" style="125" customWidth="1"/>
    <col min="6165" max="6405" width="9.140625" style="125"/>
    <col min="6406" max="6406" width="6.28515625" style="125" customWidth="1"/>
    <col min="6407" max="6407" width="5.140625" style="125" customWidth="1"/>
    <col min="6408" max="6408" width="8.5703125" style="125" customWidth="1"/>
    <col min="6409" max="6409" width="6.5703125" style="125" customWidth="1"/>
    <col min="6410" max="6410" width="7.28515625" style="125" customWidth="1"/>
    <col min="6411" max="6411" width="4.85546875" style="125" customWidth="1"/>
    <col min="6412" max="6412" width="5.85546875" style="125" customWidth="1"/>
    <col min="6413" max="6415" width="6.140625" style="125" customWidth="1"/>
    <col min="6416" max="6416" width="6.5703125" style="125" customWidth="1"/>
    <col min="6417" max="6417" width="6.7109375" style="125" customWidth="1"/>
    <col min="6418" max="6418" width="6.140625" style="125" customWidth="1"/>
    <col min="6419" max="6419" width="7.42578125" style="125" customWidth="1"/>
    <col min="6420" max="6420" width="7.140625" style="125" customWidth="1"/>
    <col min="6421" max="6661" width="9.140625" style="125"/>
    <col min="6662" max="6662" width="6.28515625" style="125" customWidth="1"/>
    <col min="6663" max="6663" width="5.140625" style="125" customWidth="1"/>
    <col min="6664" max="6664" width="8.5703125" style="125" customWidth="1"/>
    <col min="6665" max="6665" width="6.5703125" style="125" customWidth="1"/>
    <col min="6666" max="6666" width="7.28515625" style="125" customWidth="1"/>
    <col min="6667" max="6667" width="4.85546875" style="125" customWidth="1"/>
    <col min="6668" max="6668" width="5.85546875" style="125" customWidth="1"/>
    <col min="6669" max="6671" width="6.140625" style="125" customWidth="1"/>
    <col min="6672" max="6672" width="6.5703125" style="125" customWidth="1"/>
    <col min="6673" max="6673" width="6.7109375" style="125" customWidth="1"/>
    <col min="6674" max="6674" width="6.140625" style="125" customWidth="1"/>
    <col min="6675" max="6675" width="7.42578125" style="125" customWidth="1"/>
    <col min="6676" max="6676" width="7.140625" style="125" customWidth="1"/>
    <col min="6677" max="6917" width="9.140625" style="125"/>
    <col min="6918" max="6918" width="6.28515625" style="125" customWidth="1"/>
    <col min="6919" max="6919" width="5.140625" style="125" customWidth="1"/>
    <col min="6920" max="6920" width="8.5703125" style="125" customWidth="1"/>
    <col min="6921" max="6921" width="6.5703125" style="125" customWidth="1"/>
    <col min="6922" max="6922" width="7.28515625" style="125" customWidth="1"/>
    <col min="6923" max="6923" width="4.85546875" style="125" customWidth="1"/>
    <col min="6924" max="6924" width="5.85546875" style="125" customWidth="1"/>
    <col min="6925" max="6927" width="6.140625" style="125" customWidth="1"/>
    <col min="6928" max="6928" width="6.5703125" style="125" customWidth="1"/>
    <col min="6929" max="6929" width="6.7109375" style="125" customWidth="1"/>
    <col min="6930" max="6930" width="6.140625" style="125" customWidth="1"/>
    <col min="6931" max="6931" width="7.42578125" style="125" customWidth="1"/>
    <col min="6932" max="6932" width="7.140625" style="125" customWidth="1"/>
    <col min="6933" max="7173" width="9.140625" style="125"/>
    <col min="7174" max="7174" width="6.28515625" style="125" customWidth="1"/>
    <col min="7175" max="7175" width="5.140625" style="125" customWidth="1"/>
    <col min="7176" max="7176" width="8.5703125" style="125" customWidth="1"/>
    <col min="7177" max="7177" width="6.5703125" style="125" customWidth="1"/>
    <col min="7178" max="7178" width="7.28515625" style="125" customWidth="1"/>
    <col min="7179" max="7179" width="4.85546875" style="125" customWidth="1"/>
    <col min="7180" max="7180" width="5.85546875" style="125" customWidth="1"/>
    <col min="7181" max="7183" width="6.140625" style="125" customWidth="1"/>
    <col min="7184" max="7184" width="6.5703125" style="125" customWidth="1"/>
    <col min="7185" max="7185" width="6.7109375" style="125" customWidth="1"/>
    <col min="7186" max="7186" width="6.140625" style="125" customWidth="1"/>
    <col min="7187" max="7187" width="7.42578125" style="125" customWidth="1"/>
    <col min="7188" max="7188" width="7.140625" style="125" customWidth="1"/>
    <col min="7189" max="7429" width="9.140625" style="125"/>
    <col min="7430" max="7430" width="6.28515625" style="125" customWidth="1"/>
    <col min="7431" max="7431" width="5.140625" style="125" customWidth="1"/>
    <col min="7432" max="7432" width="8.5703125" style="125" customWidth="1"/>
    <col min="7433" max="7433" width="6.5703125" style="125" customWidth="1"/>
    <col min="7434" max="7434" width="7.28515625" style="125" customWidth="1"/>
    <col min="7435" max="7435" width="4.85546875" style="125" customWidth="1"/>
    <col min="7436" max="7436" width="5.85546875" style="125" customWidth="1"/>
    <col min="7437" max="7439" width="6.140625" style="125" customWidth="1"/>
    <col min="7440" max="7440" width="6.5703125" style="125" customWidth="1"/>
    <col min="7441" max="7441" width="6.7109375" style="125" customWidth="1"/>
    <col min="7442" max="7442" width="6.140625" style="125" customWidth="1"/>
    <col min="7443" max="7443" width="7.42578125" style="125" customWidth="1"/>
    <col min="7444" max="7444" width="7.140625" style="125" customWidth="1"/>
    <col min="7445" max="7685" width="9.140625" style="125"/>
    <col min="7686" max="7686" width="6.28515625" style="125" customWidth="1"/>
    <col min="7687" max="7687" width="5.140625" style="125" customWidth="1"/>
    <col min="7688" max="7688" width="8.5703125" style="125" customWidth="1"/>
    <col min="7689" max="7689" width="6.5703125" style="125" customWidth="1"/>
    <col min="7690" max="7690" width="7.28515625" style="125" customWidth="1"/>
    <col min="7691" max="7691" width="4.85546875" style="125" customWidth="1"/>
    <col min="7692" max="7692" width="5.85546875" style="125" customWidth="1"/>
    <col min="7693" max="7695" width="6.140625" style="125" customWidth="1"/>
    <col min="7696" max="7696" width="6.5703125" style="125" customWidth="1"/>
    <col min="7697" max="7697" width="6.7109375" style="125" customWidth="1"/>
    <col min="7698" max="7698" width="6.140625" style="125" customWidth="1"/>
    <col min="7699" max="7699" width="7.42578125" style="125" customWidth="1"/>
    <col min="7700" max="7700" width="7.140625" style="125" customWidth="1"/>
    <col min="7701" max="7941" width="9.140625" style="125"/>
    <col min="7942" max="7942" width="6.28515625" style="125" customWidth="1"/>
    <col min="7943" max="7943" width="5.140625" style="125" customWidth="1"/>
    <col min="7944" max="7944" width="8.5703125" style="125" customWidth="1"/>
    <col min="7945" max="7945" width="6.5703125" style="125" customWidth="1"/>
    <col min="7946" max="7946" width="7.28515625" style="125" customWidth="1"/>
    <col min="7947" max="7947" width="4.85546875" style="125" customWidth="1"/>
    <col min="7948" max="7948" width="5.85546875" style="125" customWidth="1"/>
    <col min="7949" max="7951" width="6.140625" style="125" customWidth="1"/>
    <col min="7952" max="7952" width="6.5703125" style="125" customWidth="1"/>
    <col min="7953" max="7953" width="6.7109375" style="125" customWidth="1"/>
    <col min="7954" max="7954" width="6.140625" style="125" customWidth="1"/>
    <col min="7955" max="7955" width="7.42578125" style="125" customWidth="1"/>
    <col min="7956" max="7956" width="7.140625" style="125" customWidth="1"/>
    <col min="7957" max="8197" width="9.140625" style="125"/>
    <col min="8198" max="8198" width="6.28515625" style="125" customWidth="1"/>
    <col min="8199" max="8199" width="5.140625" style="125" customWidth="1"/>
    <col min="8200" max="8200" width="8.5703125" style="125" customWidth="1"/>
    <col min="8201" max="8201" width="6.5703125" style="125" customWidth="1"/>
    <col min="8202" max="8202" width="7.28515625" style="125" customWidth="1"/>
    <col min="8203" max="8203" width="4.85546875" style="125" customWidth="1"/>
    <col min="8204" max="8204" width="5.85546875" style="125" customWidth="1"/>
    <col min="8205" max="8207" width="6.140625" style="125" customWidth="1"/>
    <col min="8208" max="8208" width="6.5703125" style="125" customWidth="1"/>
    <col min="8209" max="8209" width="6.7109375" style="125" customWidth="1"/>
    <col min="8210" max="8210" width="6.140625" style="125" customWidth="1"/>
    <col min="8211" max="8211" width="7.42578125" style="125" customWidth="1"/>
    <col min="8212" max="8212" width="7.140625" style="125" customWidth="1"/>
    <col min="8213" max="8453" width="9.140625" style="125"/>
    <col min="8454" max="8454" width="6.28515625" style="125" customWidth="1"/>
    <col min="8455" max="8455" width="5.140625" style="125" customWidth="1"/>
    <col min="8456" max="8456" width="8.5703125" style="125" customWidth="1"/>
    <col min="8457" max="8457" width="6.5703125" style="125" customWidth="1"/>
    <col min="8458" max="8458" width="7.28515625" style="125" customWidth="1"/>
    <col min="8459" max="8459" width="4.85546875" style="125" customWidth="1"/>
    <col min="8460" max="8460" width="5.85546875" style="125" customWidth="1"/>
    <col min="8461" max="8463" width="6.140625" style="125" customWidth="1"/>
    <col min="8464" max="8464" width="6.5703125" style="125" customWidth="1"/>
    <col min="8465" max="8465" width="6.7109375" style="125" customWidth="1"/>
    <col min="8466" max="8466" width="6.140625" style="125" customWidth="1"/>
    <col min="8467" max="8467" width="7.42578125" style="125" customWidth="1"/>
    <col min="8468" max="8468" width="7.140625" style="125" customWidth="1"/>
    <col min="8469" max="8709" width="9.140625" style="125"/>
    <col min="8710" max="8710" width="6.28515625" style="125" customWidth="1"/>
    <col min="8711" max="8711" width="5.140625" style="125" customWidth="1"/>
    <col min="8712" max="8712" width="8.5703125" style="125" customWidth="1"/>
    <col min="8713" max="8713" width="6.5703125" style="125" customWidth="1"/>
    <col min="8714" max="8714" width="7.28515625" style="125" customWidth="1"/>
    <col min="8715" max="8715" width="4.85546875" style="125" customWidth="1"/>
    <col min="8716" max="8716" width="5.85546875" style="125" customWidth="1"/>
    <col min="8717" max="8719" width="6.140625" style="125" customWidth="1"/>
    <col min="8720" max="8720" width="6.5703125" style="125" customWidth="1"/>
    <col min="8721" max="8721" width="6.7109375" style="125" customWidth="1"/>
    <col min="8722" max="8722" width="6.140625" style="125" customWidth="1"/>
    <col min="8723" max="8723" width="7.42578125" style="125" customWidth="1"/>
    <col min="8724" max="8724" width="7.140625" style="125" customWidth="1"/>
    <col min="8725" max="8965" width="9.140625" style="125"/>
    <col min="8966" max="8966" width="6.28515625" style="125" customWidth="1"/>
    <col min="8967" max="8967" width="5.140625" style="125" customWidth="1"/>
    <col min="8968" max="8968" width="8.5703125" style="125" customWidth="1"/>
    <col min="8969" max="8969" width="6.5703125" style="125" customWidth="1"/>
    <col min="8970" max="8970" width="7.28515625" style="125" customWidth="1"/>
    <col min="8971" max="8971" width="4.85546875" style="125" customWidth="1"/>
    <col min="8972" max="8972" width="5.85546875" style="125" customWidth="1"/>
    <col min="8973" max="8975" width="6.140625" style="125" customWidth="1"/>
    <col min="8976" max="8976" width="6.5703125" style="125" customWidth="1"/>
    <col min="8977" max="8977" width="6.7109375" style="125" customWidth="1"/>
    <col min="8978" max="8978" width="6.140625" style="125" customWidth="1"/>
    <col min="8979" max="8979" width="7.42578125" style="125" customWidth="1"/>
    <col min="8980" max="8980" width="7.140625" style="125" customWidth="1"/>
    <col min="8981" max="9221" width="9.140625" style="125"/>
    <col min="9222" max="9222" width="6.28515625" style="125" customWidth="1"/>
    <col min="9223" max="9223" width="5.140625" style="125" customWidth="1"/>
    <col min="9224" max="9224" width="8.5703125" style="125" customWidth="1"/>
    <col min="9225" max="9225" width="6.5703125" style="125" customWidth="1"/>
    <col min="9226" max="9226" width="7.28515625" style="125" customWidth="1"/>
    <col min="9227" max="9227" width="4.85546875" style="125" customWidth="1"/>
    <col min="9228" max="9228" width="5.85546875" style="125" customWidth="1"/>
    <col min="9229" max="9231" width="6.140625" style="125" customWidth="1"/>
    <col min="9232" max="9232" width="6.5703125" style="125" customWidth="1"/>
    <col min="9233" max="9233" width="6.7109375" style="125" customWidth="1"/>
    <col min="9234" max="9234" width="6.140625" style="125" customWidth="1"/>
    <col min="9235" max="9235" width="7.42578125" style="125" customWidth="1"/>
    <col min="9236" max="9236" width="7.140625" style="125" customWidth="1"/>
    <col min="9237" max="9477" width="9.140625" style="125"/>
    <col min="9478" max="9478" width="6.28515625" style="125" customWidth="1"/>
    <col min="9479" max="9479" width="5.140625" style="125" customWidth="1"/>
    <col min="9480" max="9480" width="8.5703125" style="125" customWidth="1"/>
    <col min="9481" max="9481" width="6.5703125" style="125" customWidth="1"/>
    <col min="9482" max="9482" width="7.28515625" style="125" customWidth="1"/>
    <col min="9483" max="9483" width="4.85546875" style="125" customWidth="1"/>
    <col min="9484" max="9484" width="5.85546875" style="125" customWidth="1"/>
    <col min="9485" max="9487" width="6.140625" style="125" customWidth="1"/>
    <col min="9488" max="9488" width="6.5703125" style="125" customWidth="1"/>
    <col min="9489" max="9489" width="6.7109375" style="125" customWidth="1"/>
    <col min="9490" max="9490" width="6.140625" style="125" customWidth="1"/>
    <col min="9491" max="9491" width="7.42578125" style="125" customWidth="1"/>
    <col min="9492" max="9492" width="7.140625" style="125" customWidth="1"/>
    <col min="9493" max="9733" width="9.140625" style="125"/>
    <col min="9734" max="9734" width="6.28515625" style="125" customWidth="1"/>
    <col min="9735" max="9735" width="5.140625" style="125" customWidth="1"/>
    <col min="9736" max="9736" width="8.5703125" style="125" customWidth="1"/>
    <col min="9737" max="9737" width="6.5703125" style="125" customWidth="1"/>
    <col min="9738" max="9738" width="7.28515625" style="125" customWidth="1"/>
    <col min="9739" max="9739" width="4.85546875" style="125" customWidth="1"/>
    <col min="9740" max="9740" width="5.85546875" style="125" customWidth="1"/>
    <col min="9741" max="9743" width="6.140625" style="125" customWidth="1"/>
    <col min="9744" max="9744" width="6.5703125" style="125" customWidth="1"/>
    <col min="9745" max="9745" width="6.7109375" style="125" customWidth="1"/>
    <col min="9746" max="9746" width="6.140625" style="125" customWidth="1"/>
    <col min="9747" max="9747" width="7.42578125" style="125" customWidth="1"/>
    <col min="9748" max="9748" width="7.140625" style="125" customWidth="1"/>
    <col min="9749" max="9989" width="9.140625" style="125"/>
    <col min="9990" max="9990" width="6.28515625" style="125" customWidth="1"/>
    <col min="9991" max="9991" width="5.140625" style="125" customWidth="1"/>
    <col min="9992" max="9992" width="8.5703125" style="125" customWidth="1"/>
    <col min="9993" max="9993" width="6.5703125" style="125" customWidth="1"/>
    <col min="9994" max="9994" width="7.28515625" style="125" customWidth="1"/>
    <col min="9995" max="9995" width="4.85546875" style="125" customWidth="1"/>
    <col min="9996" max="9996" width="5.85546875" style="125" customWidth="1"/>
    <col min="9997" max="9999" width="6.140625" style="125" customWidth="1"/>
    <col min="10000" max="10000" width="6.5703125" style="125" customWidth="1"/>
    <col min="10001" max="10001" width="6.7109375" style="125" customWidth="1"/>
    <col min="10002" max="10002" width="6.140625" style="125" customWidth="1"/>
    <col min="10003" max="10003" width="7.42578125" style="125" customWidth="1"/>
    <col min="10004" max="10004" width="7.140625" style="125" customWidth="1"/>
    <col min="10005" max="10245" width="9.140625" style="125"/>
    <col min="10246" max="10246" width="6.28515625" style="125" customWidth="1"/>
    <col min="10247" max="10247" width="5.140625" style="125" customWidth="1"/>
    <col min="10248" max="10248" width="8.5703125" style="125" customWidth="1"/>
    <col min="10249" max="10249" width="6.5703125" style="125" customWidth="1"/>
    <col min="10250" max="10250" width="7.28515625" style="125" customWidth="1"/>
    <col min="10251" max="10251" width="4.85546875" style="125" customWidth="1"/>
    <col min="10252" max="10252" width="5.85546875" style="125" customWidth="1"/>
    <col min="10253" max="10255" width="6.140625" style="125" customWidth="1"/>
    <col min="10256" max="10256" width="6.5703125" style="125" customWidth="1"/>
    <col min="10257" max="10257" width="6.7109375" style="125" customWidth="1"/>
    <col min="10258" max="10258" width="6.140625" style="125" customWidth="1"/>
    <col min="10259" max="10259" width="7.42578125" style="125" customWidth="1"/>
    <col min="10260" max="10260" width="7.140625" style="125" customWidth="1"/>
    <col min="10261" max="10501" width="9.140625" style="125"/>
    <col min="10502" max="10502" width="6.28515625" style="125" customWidth="1"/>
    <col min="10503" max="10503" width="5.140625" style="125" customWidth="1"/>
    <col min="10504" max="10504" width="8.5703125" style="125" customWidth="1"/>
    <col min="10505" max="10505" width="6.5703125" style="125" customWidth="1"/>
    <col min="10506" max="10506" width="7.28515625" style="125" customWidth="1"/>
    <col min="10507" max="10507" width="4.85546875" style="125" customWidth="1"/>
    <col min="10508" max="10508" width="5.85546875" style="125" customWidth="1"/>
    <col min="10509" max="10511" width="6.140625" style="125" customWidth="1"/>
    <col min="10512" max="10512" width="6.5703125" style="125" customWidth="1"/>
    <col min="10513" max="10513" width="6.7109375" style="125" customWidth="1"/>
    <col min="10514" max="10514" width="6.140625" style="125" customWidth="1"/>
    <col min="10515" max="10515" width="7.42578125" style="125" customWidth="1"/>
    <col min="10516" max="10516" width="7.140625" style="125" customWidth="1"/>
    <col min="10517" max="10757" width="9.140625" style="125"/>
    <col min="10758" max="10758" width="6.28515625" style="125" customWidth="1"/>
    <col min="10759" max="10759" width="5.140625" style="125" customWidth="1"/>
    <col min="10760" max="10760" width="8.5703125" style="125" customWidth="1"/>
    <col min="10761" max="10761" width="6.5703125" style="125" customWidth="1"/>
    <col min="10762" max="10762" width="7.28515625" style="125" customWidth="1"/>
    <col min="10763" max="10763" width="4.85546875" style="125" customWidth="1"/>
    <col min="10764" max="10764" width="5.85546875" style="125" customWidth="1"/>
    <col min="10765" max="10767" width="6.140625" style="125" customWidth="1"/>
    <col min="10768" max="10768" width="6.5703125" style="125" customWidth="1"/>
    <col min="10769" max="10769" width="6.7109375" style="125" customWidth="1"/>
    <col min="10770" max="10770" width="6.140625" style="125" customWidth="1"/>
    <col min="10771" max="10771" width="7.42578125" style="125" customWidth="1"/>
    <col min="10772" max="10772" width="7.140625" style="125" customWidth="1"/>
    <col min="10773" max="11013" width="9.140625" style="125"/>
    <col min="11014" max="11014" width="6.28515625" style="125" customWidth="1"/>
    <col min="11015" max="11015" width="5.140625" style="125" customWidth="1"/>
    <col min="11016" max="11016" width="8.5703125" style="125" customWidth="1"/>
    <col min="11017" max="11017" width="6.5703125" style="125" customWidth="1"/>
    <col min="11018" max="11018" width="7.28515625" style="125" customWidth="1"/>
    <col min="11019" max="11019" width="4.85546875" style="125" customWidth="1"/>
    <col min="11020" max="11020" width="5.85546875" style="125" customWidth="1"/>
    <col min="11021" max="11023" width="6.140625" style="125" customWidth="1"/>
    <col min="11024" max="11024" width="6.5703125" style="125" customWidth="1"/>
    <col min="11025" max="11025" width="6.7109375" style="125" customWidth="1"/>
    <col min="11026" max="11026" width="6.140625" style="125" customWidth="1"/>
    <col min="11027" max="11027" width="7.42578125" style="125" customWidth="1"/>
    <col min="11028" max="11028" width="7.140625" style="125" customWidth="1"/>
    <col min="11029" max="11269" width="9.140625" style="125"/>
    <col min="11270" max="11270" width="6.28515625" style="125" customWidth="1"/>
    <col min="11271" max="11271" width="5.140625" style="125" customWidth="1"/>
    <col min="11272" max="11272" width="8.5703125" style="125" customWidth="1"/>
    <col min="11273" max="11273" width="6.5703125" style="125" customWidth="1"/>
    <col min="11274" max="11274" width="7.28515625" style="125" customWidth="1"/>
    <col min="11275" max="11275" width="4.85546875" style="125" customWidth="1"/>
    <col min="11276" max="11276" width="5.85546875" style="125" customWidth="1"/>
    <col min="11277" max="11279" width="6.140625" style="125" customWidth="1"/>
    <col min="11280" max="11280" width="6.5703125" style="125" customWidth="1"/>
    <col min="11281" max="11281" width="6.7109375" style="125" customWidth="1"/>
    <col min="11282" max="11282" width="6.140625" style="125" customWidth="1"/>
    <col min="11283" max="11283" width="7.42578125" style="125" customWidth="1"/>
    <col min="11284" max="11284" width="7.140625" style="125" customWidth="1"/>
    <col min="11285" max="11525" width="9.140625" style="125"/>
    <col min="11526" max="11526" width="6.28515625" style="125" customWidth="1"/>
    <col min="11527" max="11527" width="5.140625" style="125" customWidth="1"/>
    <col min="11528" max="11528" width="8.5703125" style="125" customWidth="1"/>
    <col min="11529" max="11529" width="6.5703125" style="125" customWidth="1"/>
    <col min="11530" max="11530" width="7.28515625" style="125" customWidth="1"/>
    <col min="11531" max="11531" width="4.85546875" style="125" customWidth="1"/>
    <col min="11532" max="11532" width="5.85546875" style="125" customWidth="1"/>
    <col min="11533" max="11535" width="6.140625" style="125" customWidth="1"/>
    <col min="11536" max="11536" width="6.5703125" style="125" customWidth="1"/>
    <col min="11537" max="11537" width="6.7109375" style="125" customWidth="1"/>
    <col min="11538" max="11538" width="6.140625" style="125" customWidth="1"/>
    <col min="11539" max="11539" width="7.42578125" style="125" customWidth="1"/>
    <col min="11540" max="11540" width="7.140625" style="125" customWidth="1"/>
    <col min="11541" max="11781" width="9.140625" style="125"/>
    <col min="11782" max="11782" width="6.28515625" style="125" customWidth="1"/>
    <col min="11783" max="11783" width="5.140625" style="125" customWidth="1"/>
    <col min="11784" max="11784" width="8.5703125" style="125" customWidth="1"/>
    <col min="11785" max="11785" width="6.5703125" style="125" customWidth="1"/>
    <col min="11786" max="11786" width="7.28515625" style="125" customWidth="1"/>
    <col min="11787" max="11787" width="4.85546875" style="125" customWidth="1"/>
    <col min="11788" max="11788" width="5.85546875" style="125" customWidth="1"/>
    <col min="11789" max="11791" width="6.140625" style="125" customWidth="1"/>
    <col min="11792" max="11792" width="6.5703125" style="125" customWidth="1"/>
    <col min="11793" max="11793" width="6.7109375" style="125" customWidth="1"/>
    <col min="11794" max="11794" width="6.140625" style="125" customWidth="1"/>
    <col min="11795" max="11795" width="7.42578125" style="125" customWidth="1"/>
    <col min="11796" max="11796" width="7.140625" style="125" customWidth="1"/>
    <col min="11797" max="12037" width="9.140625" style="125"/>
    <col min="12038" max="12038" width="6.28515625" style="125" customWidth="1"/>
    <col min="12039" max="12039" width="5.140625" style="125" customWidth="1"/>
    <col min="12040" max="12040" width="8.5703125" style="125" customWidth="1"/>
    <col min="12041" max="12041" width="6.5703125" style="125" customWidth="1"/>
    <col min="12042" max="12042" width="7.28515625" style="125" customWidth="1"/>
    <col min="12043" max="12043" width="4.85546875" style="125" customWidth="1"/>
    <col min="12044" max="12044" width="5.85546875" style="125" customWidth="1"/>
    <col min="12045" max="12047" width="6.140625" style="125" customWidth="1"/>
    <col min="12048" max="12048" width="6.5703125" style="125" customWidth="1"/>
    <col min="12049" max="12049" width="6.7109375" style="125" customWidth="1"/>
    <col min="12050" max="12050" width="6.140625" style="125" customWidth="1"/>
    <col min="12051" max="12051" width="7.42578125" style="125" customWidth="1"/>
    <col min="12052" max="12052" width="7.140625" style="125" customWidth="1"/>
    <col min="12053" max="12293" width="9.140625" style="125"/>
    <col min="12294" max="12294" width="6.28515625" style="125" customWidth="1"/>
    <col min="12295" max="12295" width="5.140625" style="125" customWidth="1"/>
    <col min="12296" max="12296" width="8.5703125" style="125" customWidth="1"/>
    <col min="12297" max="12297" width="6.5703125" style="125" customWidth="1"/>
    <col min="12298" max="12298" width="7.28515625" style="125" customWidth="1"/>
    <col min="12299" max="12299" width="4.85546875" style="125" customWidth="1"/>
    <col min="12300" max="12300" width="5.85546875" style="125" customWidth="1"/>
    <col min="12301" max="12303" width="6.140625" style="125" customWidth="1"/>
    <col min="12304" max="12304" width="6.5703125" style="125" customWidth="1"/>
    <col min="12305" max="12305" width="6.7109375" style="125" customWidth="1"/>
    <col min="12306" max="12306" width="6.140625" style="125" customWidth="1"/>
    <col min="12307" max="12307" width="7.42578125" style="125" customWidth="1"/>
    <col min="12308" max="12308" width="7.140625" style="125" customWidth="1"/>
    <col min="12309" max="12549" width="9.140625" style="125"/>
    <col min="12550" max="12550" width="6.28515625" style="125" customWidth="1"/>
    <col min="12551" max="12551" width="5.140625" style="125" customWidth="1"/>
    <col min="12552" max="12552" width="8.5703125" style="125" customWidth="1"/>
    <col min="12553" max="12553" width="6.5703125" style="125" customWidth="1"/>
    <col min="12554" max="12554" width="7.28515625" style="125" customWidth="1"/>
    <col min="12555" max="12555" width="4.85546875" style="125" customWidth="1"/>
    <col min="12556" max="12556" width="5.85546875" style="125" customWidth="1"/>
    <col min="12557" max="12559" width="6.140625" style="125" customWidth="1"/>
    <col min="12560" max="12560" width="6.5703125" style="125" customWidth="1"/>
    <col min="12561" max="12561" width="6.7109375" style="125" customWidth="1"/>
    <col min="12562" max="12562" width="6.140625" style="125" customWidth="1"/>
    <col min="12563" max="12563" width="7.42578125" style="125" customWidth="1"/>
    <col min="12564" max="12564" width="7.140625" style="125" customWidth="1"/>
    <col min="12565" max="12805" width="9.140625" style="125"/>
    <col min="12806" max="12806" width="6.28515625" style="125" customWidth="1"/>
    <col min="12807" max="12807" width="5.140625" style="125" customWidth="1"/>
    <col min="12808" max="12808" width="8.5703125" style="125" customWidth="1"/>
    <col min="12809" max="12809" width="6.5703125" style="125" customWidth="1"/>
    <col min="12810" max="12810" width="7.28515625" style="125" customWidth="1"/>
    <col min="12811" max="12811" width="4.85546875" style="125" customWidth="1"/>
    <col min="12812" max="12812" width="5.85546875" style="125" customWidth="1"/>
    <col min="12813" max="12815" width="6.140625" style="125" customWidth="1"/>
    <col min="12816" max="12816" width="6.5703125" style="125" customWidth="1"/>
    <col min="12817" max="12817" width="6.7109375" style="125" customWidth="1"/>
    <col min="12818" max="12818" width="6.140625" style="125" customWidth="1"/>
    <col min="12819" max="12819" width="7.42578125" style="125" customWidth="1"/>
    <col min="12820" max="12820" width="7.140625" style="125" customWidth="1"/>
    <col min="12821" max="13061" width="9.140625" style="125"/>
    <col min="13062" max="13062" width="6.28515625" style="125" customWidth="1"/>
    <col min="13063" max="13063" width="5.140625" style="125" customWidth="1"/>
    <col min="13064" max="13064" width="8.5703125" style="125" customWidth="1"/>
    <col min="13065" max="13065" width="6.5703125" style="125" customWidth="1"/>
    <col min="13066" max="13066" width="7.28515625" style="125" customWidth="1"/>
    <col min="13067" max="13067" width="4.85546875" style="125" customWidth="1"/>
    <col min="13068" max="13068" width="5.85546875" style="125" customWidth="1"/>
    <col min="13069" max="13071" width="6.140625" style="125" customWidth="1"/>
    <col min="13072" max="13072" width="6.5703125" style="125" customWidth="1"/>
    <col min="13073" max="13073" width="6.7109375" style="125" customWidth="1"/>
    <col min="13074" max="13074" width="6.140625" style="125" customWidth="1"/>
    <col min="13075" max="13075" width="7.42578125" style="125" customWidth="1"/>
    <col min="13076" max="13076" width="7.140625" style="125" customWidth="1"/>
    <col min="13077" max="13317" width="9.140625" style="125"/>
    <col min="13318" max="13318" width="6.28515625" style="125" customWidth="1"/>
    <col min="13319" max="13319" width="5.140625" style="125" customWidth="1"/>
    <col min="13320" max="13320" width="8.5703125" style="125" customWidth="1"/>
    <col min="13321" max="13321" width="6.5703125" style="125" customWidth="1"/>
    <col min="13322" max="13322" width="7.28515625" style="125" customWidth="1"/>
    <col min="13323" max="13323" width="4.85546875" style="125" customWidth="1"/>
    <col min="13324" max="13324" width="5.85546875" style="125" customWidth="1"/>
    <col min="13325" max="13327" width="6.140625" style="125" customWidth="1"/>
    <col min="13328" max="13328" width="6.5703125" style="125" customWidth="1"/>
    <col min="13329" max="13329" width="6.7109375" style="125" customWidth="1"/>
    <col min="13330" max="13330" width="6.140625" style="125" customWidth="1"/>
    <col min="13331" max="13331" width="7.42578125" style="125" customWidth="1"/>
    <col min="13332" max="13332" width="7.140625" style="125" customWidth="1"/>
    <col min="13333" max="13573" width="9.140625" style="125"/>
    <col min="13574" max="13574" width="6.28515625" style="125" customWidth="1"/>
    <col min="13575" max="13575" width="5.140625" style="125" customWidth="1"/>
    <col min="13576" max="13576" width="8.5703125" style="125" customWidth="1"/>
    <col min="13577" max="13577" width="6.5703125" style="125" customWidth="1"/>
    <col min="13578" max="13578" width="7.28515625" style="125" customWidth="1"/>
    <col min="13579" max="13579" width="4.85546875" style="125" customWidth="1"/>
    <col min="13580" max="13580" width="5.85546875" style="125" customWidth="1"/>
    <col min="13581" max="13583" width="6.140625" style="125" customWidth="1"/>
    <col min="13584" max="13584" width="6.5703125" style="125" customWidth="1"/>
    <col min="13585" max="13585" width="6.7109375" style="125" customWidth="1"/>
    <col min="13586" max="13586" width="6.140625" style="125" customWidth="1"/>
    <col min="13587" max="13587" width="7.42578125" style="125" customWidth="1"/>
    <col min="13588" max="13588" width="7.140625" style="125" customWidth="1"/>
    <col min="13589" max="13829" width="9.140625" style="125"/>
    <col min="13830" max="13830" width="6.28515625" style="125" customWidth="1"/>
    <col min="13831" max="13831" width="5.140625" style="125" customWidth="1"/>
    <col min="13832" max="13832" width="8.5703125" style="125" customWidth="1"/>
    <col min="13833" max="13833" width="6.5703125" style="125" customWidth="1"/>
    <col min="13834" max="13834" width="7.28515625" style="125" customWidth="1"/>
    <col min="13835" max="13835" width="4.85546875" style="125" customWidth="1"/>
    <col min="13836" max="13836" width="5.85546875" style="125" customWidth="1"/>
    <col min="13837" max="13839" width="6.140625" style="125" customWidth="1"/>
    <col min="13840" max="13840" width="6.5703125" style="125" customWidth="1"/>
    <col min="13841" max="13841" width="6.7109375" style="125" customWidth="1"/>
    <col min="13842" max="13842" width="6.140625" style="125" customWidth="1"/>
    <col min="13843" max="13843" width="7.42578125" style="125" customWidth="1"/>
    <col min="13844" max="13844" width="7.140625" style="125" customWidth="1"/>
    <col min="13845" max="14085" width="9.140625" style="125"/>
    <col min="14086" max="14086" width="6.28515625" style="125" customWidth="1"/>
    <col min="14087" max="14087" width="5.140625" style="125" customWidth="1"/>
    <col min="14088" max="14088" width="8.5703125" style="125" customWidth="1"/>
    <col min="14089" max="14089" width="6.5703125" style="125" customWidth="1"/>
    <col min="14090" max="14090" width="7.28515625" style="125" customWidth="1"/>
    <col min="14091" max="14091" width="4.85546875" style="125" customWidth="1"/>
    <col min="14092" max="14092" width="5.85546875" style="125" customWidth="1"/>
    <col min="14093" max="14095" width="6.140625" style="125" customWidth="1"/>
    <col min="14096" max="14096" width="6.5703125" style="125" customWidth="1"/>
    <col min="14097" max="14097" width="6.7109375" style="125" customWidth="1"/>
    <col min="14098" max="14098" width="6.140625" style="125" customWidth="1"/>
    <col min="14099" max="14099" width="7.42578125" style="125" customWidth="1"/>
    <col min="14100" max="14100" width="7.140625" style="125" customWidth="1"/>
    <col min="14101" max="14341" width="9.140625" style="125"/>
    <col min="14342" max="14342" width="6.28515625" style="125" customWidth="1"/>
    <col min="14343" max="14343" width="5.140625" style="125" customWidth="1"/>
    <col min="14344" max="14344" width="8.5703125" style="125" customWidth="1"/>
    <col min="14345" max="14345" width="6.5703125" style="125" customWidth="1"/>
    <col min="14346" max="14346" width="7.28515625" style="125" customWidth="1"/>
    <col min="14347" max="14347" width="4.85546875" style="125" customWidth="1"/>
    <col min="14348" max="14348" width="5.85546875" style="125" customWidth="1"/>
    <col min="14349" max="14351" width="6.140625" style="125" customWidth="1"/>
    <col min="14352" max="14352" width="6.5703125" style="125" customWidth="1"/>
    <col min="14353" max="14353" width="6.7109375" style="125" customWidth="1"/>
    <col min="14354" max="14354" width="6.140625" style="125" customWidth="1"/>
    <col min="14355" max="14355" width="7.42578125" style="125" customWidth="1"/>
    <col min="14356" max="14356" width="7.140625" style="125" customWidth="1"/>
    <col min="14357" max="14597" width="9.140625" style="125"/>
    <col min="14598" max="14598" width="6.28515625" style="125" customWidth="1"/>
    <col min="14599" max="14599" width="5.140625" style="125" customWidth="1"/>
    <col min="14600" max="14600" width="8.5703125" style="125" customWidth="1"/>
    <col min="14601" max="14601" width="6.5703125" style="125" customWidth="1"/>
    <col min="14602" max="14602" width="7.28515625" style="125" customWidth="1"/>
    <col min="14603" max="14603" width="4.85546875" style="125" customWidth="1"/>
    <col min="14604" max="14604" width="5.85546875" style="125" customWidth="1"/>
    <col min="14605" max="14607" width="6.140625" style="125" customWidth="1"/>
    <col min="14608" max="14608" width="6.5703125" style="125" customWidth="1"/>
    <col min="14609" max="14609" width="6.7109375" style="125" customWidth="1"/>
    <col min="14610" max="14610" width="6.140625" style="125" customWidth="1"/>
    <col min="14611" max="14611" width="7.42578125" style="125" customWidth="1"/>
    <col min="14612" max="14612" width="7.140625" style="125" customWidth="1"/>
    <col min="14613" max="14853" width="9.140625" style="125"/>
    <col min="14854" max="14854" width="6.28515625" style="125" customWidth="1"/>
    <col min="14855" max="14855" width="5.140625" style="125" customWidth="1"/>
    <col min="14856" max="14856" width="8.5703125" style="125" customWidth="1"/>
    <col min="14857" max="14857" width="6.5703125" style="125" customWidth="1"/>
    <col min="14858" max="14858" width="7.28515625" style="125" customWidth="1"/>
    <col min="14859" max="14859" width="4.85546875" style="125" customWidth="1"/>
    <col min="14860" max="14860" width="5.85546875" style="125" customWidth="1"/>
    <col min="14861" max="14863" width="6.140625" style="125" customWidth="1"/>
    <col min="14864" max="14864" width="6.5703125" style="125" customWidth="1"/>
    <col min="14865" max="14865" width="6.7109375" style="125" customWidth="1"/>
    <col min="14866" max="14866" width="6.140625" style="125" customWidth="1"/>
    <col min="14867" max="14867" width="7.42578125" style="125" customWidth="1"/>
    <col min="14868" max="14868" width="7.140625" style="125" customWidth="1"/>
    <col min="14869" max="15109" width="9.140625" style="125"/>
    <col min="15110" max="15110" width="6.28515625" style="125" customWidth="1"/>
    <col min="15111" max="15111" width="5.140625" style="125" customWidth="1"/>
    <col min="15112" max="15112" width="8.5703125" style="125" customWidth="1"/>
    <col min="15113" max="15113" width="6.5703125" style="125" customWidth="1"/>
    <col min="15114" max="15114" width="7.28515625" style="125" customWidth="1"/>
    <col min="15115" max="15115" width="4.85546875" style="125" customWidth="1"/>
    <col min="15116" max="15116" width="5.85546875" style="125" customWidth="1"/>
    <col min="15117" max="15119" width="6.140625" style="125" customWidth="1"/>
    <col min="15120" max="15120" width="6.5703125" style="125" customWidth="1"/>
    <col min="15121" max="15121" width="6.7109375" style="125" customWidth="1"/>
    <col min="15122" max="15122" width="6.140625" style="125" customWidth="1"/>
    <col min="15123" max="15123" width="7.42578125" style="125" customWidth="1"/>
    <col min="15124" max="15124" width="7.140625" style="125" customWidth="1"/>
    <col min="15125" max="15365" width="9.140625" style="125"/>
    <col min="15366" max="15366" width="6.28515625" style="125" customWidth="1"/>
    <col min="15367" max="15367" width="5.140625" style="125" customWidth="1"/>
    <col min="15368" max="15368" width="8.5703125" style="125" customWidth="1"/>
    <col min="15369" max="15369" width="6.5703125" style="125" customWidth="1"/>
    <col min="15370" max="15370" width="7.28515625" style="125" customWidth="1"/>
    <col min="15371" max="15371" width="4.85546875" style="125" customWidth="1"/>
    <col min="15372" max="15372" width="5.85546875" style="125" customWidth="1"/>
    <col min="15373" max="15375" width="6.140625" style="125" customWidth="1"/>
    <col min="15376" max="15376" width="6.5703125" style="125" customWidth="1"/>
    <col min="15377" max="15377" width="6.7109375" style="125" customWidth="1"/>
    <col min="15378" max="15378" width="6.140625" style="125" customWidth="1"/>
    <col min="15379" max="15379" width="7.42578125" style="125" customWidth="1"/>
    <col min="15380" max="15380" width="7.140625" style="125" customWidth="1"/>
    <col min="15381" max="15621" width="9.140625" style="125"/>
    <col min="15622" max="15622" width="6.28515625" style="125" customWidth="1"/>
    <col min="15623" max="15623" width="5.140625" style="125" customWidth="1"/>
    <col min="15624" max="15624" width="8.5703125" style="125" customWidth="1"/>
    <col min="15625" max="15625" width="6.5703125" style="125" customWidth="1"/>
    <col min="15626" max="15626" width="7.28515625" style="125" customWidth="1"/>
    <col min="15627" max="15627" width="4.85546875" style="125" customWidth="1"/>
    <col min="15628" max="15628" width="5.85546875" style="125" customWidth="1"/>
    <col min="15629" max="15631" width="6.140625" style="125" customWidth="1"/>
    <col min="15632" max="15632" width="6.5703125" style="125" customWidth="1"/>
    <col min="15633" max="15633" width="6.7109375" style="125" customWidth="1"/>
    <col min="15634" max="15634" width="6.140625" style="125" customWidth="1"/>
    <col min="15635" max="15635" width="7.42578125" style="125" customWidth="1"/>
    <col min="15636" max="15636" width="7.140625" style="125" customWidth="1"/>
    <col min="15637" max="15877" width="9.140625" style="125"/>
    <col min="15878" max="15878" width="6.28515625" style="125" customWidth="1"/>
    <col min="15879" max="15879" width="5.140625" style="125" customWidth="1"/>
    <col min="15880" max="15880" width="8.5703125" style="125" customWidth="1"/>
    <col min="15881" max="15881" width="6.5703125" style="125" customWidth="1"/>
    <col min="15882" max="15882" width="7.28515625" style="125" customWidth="1"/>
    <col min="15883" max="15883" width="4.85546875" style="125" customWidth="1"/>
    <col min="15884" max="15884" width="5.85546875" style="125" customWidth="1"/>
    <col min="15885" max="15887" width="6.140625" style="125" customWidth="1"/>
    <col min="15888" max="15888" width="6.5703125" style="125" customWidth="1"/>
    <col min="15889" max="15889" width="6.7109375" style="125" customWidth="1"/>
    <col min="15890" max="15890" width="6.140625" style="125" customWidth="1"/>
    <col min="15891" max="15891" width="7.42578125" style="125" customWidth="1"/>
    <col min="15892" max="15892" width="7.140625" style="125" customWidth="1"/>
    <col min="15893" max="16133" width="9.140625" style="125"/>
    <col min="16134" max="16134" width="6.28515625" style="125" customWidth="1"/>
    <col min="16135" max="16135" width="5.140625" style="125" customWidth="1"/>
    <col min="16136" max="16136" width="8.5703125" style="125" customWidth="1"/>
    <col min="16137" max="16137" width="6.5703125" style="125" customWidth="1"/>
    <col min="16138" max="16138" width="7.28515625" style="125" customWidth="1"/>
    <col min="16139" max="16139" width="4.85546875" style="125" customWidth="1"/>
    <col min="16140" max="16140" width="5.85546875" style="125" customWidth="1"/>
    <col min="16141" max="16143" width="6.140625" style="125" customWidth="1"/>
    <col min="16144" max="16144" width="6.5703125" style="125" customWidth="1"/>
    <col min="16145" max="16145" width="6.7109375" style="125" customWidth="1"/>
    <col min="16146" max="16146" width="6.140625" style="125" customWidth="1"/>
    <col min="16147" max="16147" width="7.42578125" style="125" customWidth="1"/>
    <col min="16148" max="16148" width="7.140625" style="125" customWidth="1"/>
    <col min="16149" max="16384" width="9.140625" style="125"/>
  </cols>
  <sheetData>
    <row r="1" spans="2:29" ht="83.25" customHeight="1" x14ac:dyDescent="0.25">
      <c r="K1" s="530" t="s">
        <v>503</v>
      </c>
      <c r="L1" s="530"/>
      <c r="M1" s="530"/>
      <c r="N1" s="530"/>
      <c r="O1" s="530"/>
      <c r="P1" s="530"/>
      <c r="W1" s="125"/>
      <c r="X1" s="125"/>
    </row>
    <row r="2" spans="2:29" ht="21.75" customHeight="1" x14ac:dyDescent="0.25">
      <c r="B2" s="299" t="s">
        <v>479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T2" s="125"/>
      <c r="U2" s="424" t="str">
        <f>IFERROR("Vyúčtování pracovní cesty a zprávu o pracovní cestě je nutné odevzdat nejpozději do " &amp;TEXT(List1!$AC$1,"dd.mm.rrrr")&amp;".","")</f>
        <v>Vyúčtování pracovní cesty a zprávu o pracovní cestě je nutné odevzdat nejpozději do 24.06.2022.</v>
      </c>
      <c r="V2" s="424"/>
      <c r="W2" s="424"/>
      <c r="X2" s="424"/>
      <c r="Y2" s="424"/>
      <c r="Z2" s="424"/>
      <c r="AA2" s="424"/>
      <c r="AB2" s="424"/>
      <c r="AC2" s="424"/>
    </row>
    <row r="3" spans="2:29" ht="15" customHeight="1" x14ac:dyDescent="0.25">
      <c r="U3" s="424"/>
      <c r="V3" s="424"/>
      <c r="W3" s="424"/>
      <c r="X3" s="424"/>
      <c r="Y3" s="424"/>
      <c r="Z3" s="424"/>
      <c r="AA3" s="424"/>
      <c r="AB3" s="424"/>
      <c r="AC3" s="424"/>
    </row>
    <row r="4" spans="2:29" ht="13.5" customHeight="1" x14ac:dyDescent="0.25">
      <c r="B4" s="294" t="s">
        <v>115</v>
      </c>
      <c r="C4" s="294"/>
      <c r="D4" s="294"/>
      <c r="E4" s="294"/>
      <c r="F4" s="531" t="str">
        <f>T(Příkaz!D4)</f>
        <v/>
      </c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3"/>
      <c r="T4" s="125"/>
      <c r="U4" s="424"/>
      <c r="V4" s="424"/>
      <c r="W4" s="424"/>
      <c r="X4" s="424"/>
      <c r="Y4" s="424"/>
      <c r="Z4" s="424"/>
      <c r="AA4" s="424"/>
      <c r="AB4" s="424"/>
      <c r="AC4" s="424"/>
    </row>
    <row r="5" spans="2:29" ht="7.5" customHeight="1" x14ac:dyDescent="0.25"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T5" s="125"/>
      <c r="U5" s="424"/>
      <c r="V5" s="424"/>
      <c r="W5" s="424"/>
      <c r="X5" s="424"/>
      <c r="Y5" s="424"/>
      <c r="Z5" s="424"/>
      <c r="AA5" s="424"/>
      <c r="AB5" s="424"/>
      <c r="AC5" s="424"/>
    </row>
    <row r="6" spans="2:29" ht="13.5" customHeight="1" x14ac:dyDescent="0.25">
      <c r="B6" s="294" t="s">
        <v>480</v>
      </c>
      <c r="C6" s="294"/>
      <c r="D6" s="294"/>
      <c r="E6" s="294"/>
      <c r="F6" s="531" t="str">
        <f>T(Příkaz!L4)</f>
        <v/>
      </c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3"/>
      <c r="T6" s="125"/>
      <c r="U6" s="424"/>
      <c r="V6" s="424"/>
      <c r="W6" s="424"/>
      <c r="X6" s="424"/>
      <c r="Y6" s="424"/>
      <c r="Z6" s="424"/>
      <c r="AA6" s="424"/>
      <c r="AB6" s="424"/>
      <c r="AC6" s="424"/>
    </row>
    <row r="7" spans="2:29" ht="7.5" customHeight="1" x14ac:dyDescent="0.25"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T7" s="125"/>
      <c r="U7" s="125"/>
      <c r="V7" s="125"/>
      <c r="W7" s="125"/>
      <c r="X7" s="125"/>
      <c r="Y7" s="125"/>
      <c r="Z7" s="125"/>
      <c r="AA7" s="125"/>
      <c r="AB7" s="125"/>
      <c r="AC7" s="125"/>
    </row>
    <row r="8" spans="2:29" ht="13.5" customHeight="1" x14ac:dyDescent="0.25">
      <c r="B8" s="294" t="s">
        <v>481</v>
      </c>
      <c r="C8" s="294"/>
      <c r="D8" s="294"/>
      <c r="E8" s="294"/>
      <c r="F8" s="536" t="str">
        <f>T(Příkaz!F6)</f>
        <v/>
      </c>
      <c r="G8" s="537"/>
      <c r="H8" s="260"/>
      <c r="I8" s="527" t="str">
        <f>T(Příkaz!J6)</f>
        <v/>
      </c>
      <c r="J8" s="528"/>
      <c r="K8" s="528"/>
      <c r="L8" s="528"/>
      <c r="M8" s="528"/>
      <c r="N8" s="528"/>
      <c r="O8" s="528"/>
      <c r="P8" s="528"/>
      <c r="Q8" s="528"/>
      <c r="R8" s="259"/>
      <c r="T8" s="125"/>
      <c r="U8" s="125"/>
      <c r="V8" s="125"/>
      <c r="W8" s="125"/>
      <c r="X8" s="125"/>
      <c r="Y8" s="125"/>
      <c r="Z8" s="125"/>
      <c r="AA8" s="125"/>
      <c r="AB8" s="125"/>
      <c r="AC8" s="125"/>
    </row>
    <row r="9" spans="2:29" ht="7.5" customHeight="1" x14ac:dyDescent="0.25"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T9" s="125"/>
      <c r="U9" s="125"/>
      <c r="V9" s="125"/>
      <c r="W9" s="125"/>
      <c r="X9" s="125"/>
      <c r="Y9" s="125"/>
      <c r="Z9" s="125"/>
      <c r="AA9" s="125"/>
      <c r="AB9" s="125"/>
      <c r="AC9" s="125"/>
    </row>
    <row r="10" spans="2:29" ht="13.5" customHeight="1" x14ac:dyDescent="0.25">
      <c r="B10" s="294" t="s">
        <v>116</v>
      </c>
      <c r="C10" s="294"/>
      <c r="D10" s="294"/>
      <c r="E10" s="294"/>
      <c r="F10" s="531" t="str">
        <f>T(Příkaz!D8)</f>
        <v/>
      </c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3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</row>
    <row r="11" spans="2:29" ht="7.5" customHeight="1" x14ac:dyDescent="0.25"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</row>
    <row r="12" spans="2:29" ht="13.5" customHeight="1" x14ac:dyDescent="0.25">
      <c r="B12" s="127" t="s">
        <v>121</v>
      </c>
      <c r="F12" s="531" t="str">
        <f>T(Příkaz!D10)</f>
        <v/>
      </c>
      <c r="G12" s="532"/>
      <c r="H12" s="532"/>
      <c r="I12" s="532"/>
      <c r="J12" s="532"/>
      <c r="K12" s="532"/>
      <c r="L12" s="532"/>
      <c r="M12" s="532"/>
      <c r="N12" s="532"/>
      <c r="O12" s="532"/>
      <c r="P12" s="532"/>
      <c r="Q12" s="532"/>
      <c r="R12" s="533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</row>
    <row r="13" spans="2:29" ht="7.5" customHeight="1" x14ac:dyDescent="0.25"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</row>
    <row r="14" spans="2:29" ht="13.5" customHeight="1" x14ac:dyDescent="0.25">
      <c r="B14" s="294" t="s">
        <v>482</v>
      </c>
      <c r="C14" s="294"/>
      <c r="D14" s="294"/>
      <c r="E14" s="294"/>
      <c r="F14" s="536" t="str">
        <f>T(Příkaz!F14)</f>
        <v/>
      </c>
      <c r="G14" s="537"/>
      <c r="H14" s="260"/>
      <c r="I14" s="527" t="str">
        <f>T(Příkaz!J14)</f>
        <v/>
      </c>
      <c r="J14" s="528"/>
      <c r="K14" s="528"/>
      <c r="L14" s="528"/>
      <c r="M14" s="528"/>
      <c r="N14" s="528"/>
      <c r="O14" s="528"/>
      <c r="P14" s="528"/>
      <c r="Q14" s="528"/>
      <c r="R14" s="529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</row>
    <row r="15" spans="2:29" ht="7.5" customHeight="1" x14ac:dyDescent="0.25"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</row>
    <row r="16" spans="2:29" ht="13.5" customHeight="1" x14ac:dyDescent="0.25">
      <c r="B16" s="294" t="s">
        <v>488</v>
      </c>
      <c r="C16" s="294"/>
      <c r="D16" s="294"/>
      <c r="E16" s="127"/>
      <c r="F16" s="542">
        <f>List1!P2</f>
        <v>44723</v>
      </c>
      <c r="G16" s="543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39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</row>
    <row r="17" spans="2:29" ht="7.5" customHeight="1" x14ac:dyDescent="0.25"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</row>
    <row r="18" spans="2:29" ht="13.5" customHeight="1" x14ac:dyDescent="0.25">
      <c r="B18" s="294" t="s">
        <v>483</v>
      </c>
      <c r="C18" s="294"/>
      <c r="D18" s="294"/>
      <c r="E18" s="294"/>
      <c r="F18" s="294"/>
      <c r="G18" s="294"/>
      <c r="H18" s="527" t="str">
        <f>T(Příkaz!D16)</f>
        <v/>
      </c>
      <c r="I18" s="528"/>
      <c r="J18" s="528"/>
      <c r="K18" s="528"/>
      <c r="L18" s="528"/>
      <c r="M18" s="528"/>
      <c r="N18" s="528"/>
      <c r="O18" s="528"/>
      <c r="P18" s="528"/>
      <c r="Q18" s="528"/>
      <c r="R18" s="529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</row>
    <row r="19" spans="2:29" ht="7.5" customHeight="1" x14ac:dyDescent="0.25">
      <c r="T19" s="125"/>
      <c r="U19" s="125"/>
      <c r="V19" s="125"/>
      <c r="W19" s="125"/>
      <c r="X19" s="125"/>
      <c r="Y19" s="125"/>
      <c r="Z19" s="125"/>
      <c r="AA19" s="125"/>
      <c r="AB19" s="125"/>
      <c r="AC19" s="125"/>
    </row>
    <row r="20" spans="2:29" ht="15.75" customHeight="1" x14ac:dyDescent="0.25">
      <c r="B20" s="294" t="s">
        <v>484</v>
      </c>
      <c r="C20" s="294"/>
      <c r="D20" s="294"/>
      <c r="E20" s="294"/>
      <c r="F20" s="294"/>
      <c r="G20" s="127"/>
      <c r="H20" s="540" t="str">
        <f>Příkaz!G18</f>
        <v>A</v>
      </c>
      <c r="I20" s="541"/>
      <c r="K20" s="538" t="str">
        <f>IF(H20&lt;&gt;"",(VLOOKUP(H20,[1]List1!B3:C11,2,FALSE)),"")</f>
        <v>Autobus</v>
      </c>
      <c r="L20" s="538"/>
      <c r="M20" s="538"/>
      <c r="N20" s="538"/>
      <c r="O20" s="538"/>
      <c r="P20" s="538"/>
      <c r="Q20" s="538"/>
      <c r="R20" s="262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</row>
    <row r="23" spans="2:29" x14ac:dyDescent="0.25">
      <c r="B23" s="294" t="s">
        <v>485</v>
      </c>
      <c r="C23" s="294"/>
      <c r="D23" s="294"/>
      <c r="E23" s="294"/>
      <c r="F23" s="294"/>
    </row>
    <row r="24" spans="2:29" x14ac:dyDescent="0.25">
      <c r="B24" s="544"/>
      <c r="C24" s="545"/>
      <c r="D24" s="545"/>
      <c r="E24" s="545"/>
      <c r="F24" s="545"/>
      <c r="G24" s="545"/>
      <c r="H24" s="545"/>
      <c r="I24" s="545"/>
      <c r="J24" s="545"/>
      <c r="K24" s="545"/>
      <c r="L24" s="545"/>
      <c r="M24" s="545"/>
      <c r="N24" s="545"/>
      <c r="O24" s="545"/>
      <c r="P24" s="545"/>
      <c r="Q24" s="546"/>
    </row>
    <row r="25" spans="2:29" x14ac:dyDescent="0.25">
      <c r="B25" s="547"/>
      <c r="C25" s="548"/>
      <c r="D25" s="548"/>
      <c r="E25" s="548"/>
      <c r="F25" s="548"/>
      <c r="G25" s="548"/>
      <c r="H25" s="548"/>
      <c r="I25" s="548"/>
      <c r="J25" s="548"/>
      <c r="K25" s="548"/>
      <c r="L25" s="548"/>
      <c r="M25" s="548"/>
      <c r="N25" s="548"/>
      <c r="O25" s="548"/>
      <c r="P25" s="548"/>
      <c r="Q25" s="549"/>
    </row>
    <row r="26" spans="2:29" x14ac:dyDescent="0.25">
      <c r="B26" s="547"/>
      <c r="C26" s="548"/>
      <c r="D26" s="548"/>
      <c r="E26" s="548"/>
      <c r="F26" s="548"/>
      <c r="G26" s="548"/>
      <c r="H26" s="548"/>
      <c r="I26" s="548"/>
      <c r="J26" s="548"/>
      <c r="K26" s="548"/>
      <c r="L26" s="548"/>
      <c r="M26" s="548"/>
      <c r="N26" s="548"/>
      <c r="O26" s="548"/>
      <c r="P26" s="548"/>
      <c r="Q26" s="549"/>
    </row>
    <row r="27" spans="2:29" x14ac:dyDescent="0.25">
      <c r="B27" s="547"/>
      <c r="C27" s="548"/>
      <c r="D27" s="548"/>
      <c r="E27" s="548"/>
      <c r="F27" s="548"/>
      <c r="G27" s="548"/>
      <c r="H27" s="548"/>
      <c r="I27" s="548"/>
      <c r="J27" s="548"/>
      <c r="K27" s="548"/>
      <c r="L27" s="548"/>
      <c r="M27" s="548"/>
      <c r="N27" s="548"/>
      <c r="O27" s="548"/>
      <c r="P27" s="548"/>
      <c r="Q27" s="549"/>
    </row>
    <row r="28" spans="2:29" x14ac:dyDescent="0.25">
      <c r="B28" s="547"/>
      <c r="C28" s="548"/>
      <c r="D28" s="548"/>
      <c r="E28" s="548"/>
      <c r="F28" s="548"/>
      <c r="G28" s="548"/>
      <c r="H28" s="548"/>
      <c r="I28" s="548"/>
      <c r="J28" s="548"/>
      <c r="K28" s="548"/>
      <c r="L28" s="548"/>
      <c r="M28" s="548"/>
      <c r="N28" s="548"/>
      <c r="O28" s="548"/>
      <c r="P28" s="548"/>
      <c r="Q28" s="549"/>
    </row>
    <row r="29" spans="2:29" x14ac:dyDescent="0.25">
      <c r="B29" s="547"/>
      <c r="C29" s="548"/>
      <c r="D29" s="548"/>
      <c r="E29" s="548"/>
      <c r="F29" s="548"/>
      <c r="G29" s="548"/>
      <c r="H29" s="548"/>
      <c r="I29" s="548"/>
      <c r="J29" s="548"/>
      <c r="K29" s="548"/>
      <c r="L29" s="548"/>
      <c r="M29" s="548"/>
      <c r="N29" s="548"/>
      <c r="O29" s="548"/>
      <c r="P29" s="548"/>
      <c r="Q29" s="549"/>
    </row>
    <row r="30" spans="2:29" x14ac:dyDescent="0.25">
      <c r="B30" s="547"/>
      <c r="C30" s="548"/>
      <c r="D30" s="548"/>
      <c r="E30" s="548"/>
      <c r="F30" s="548"/>
      <c r="G30" s="548"/>
      <c r="H30" s="548"/>
      <c r="I30" s="548"/>
      <c r="J30" s="548"/>
      <c r="K30" s="548"/>
      <c r="L30" s="548"/>
      <c r="M30" s="548"/>
      <c r="N30" s="548"/>
      <c r="O30" s="548"/>
      <c r="P30" s="548"/>
      <c r="Q30" s="549"/>
    </row>
    <row r="31" spans="2:29" x14ac:dyDescent="0.25">
      <c r="B31" s="547"/>
      <c r="C31" s="548"/>
      <c r="D31" s="548"/>
      <c r="E31" s="548"/>
      <c r="F31" s="548"/>
      <c r="G31" s="548"/>
      <c r="H31" s="548"/>
      <c r="I31" s="548"/>
      <c r="J31" s="548"/>
      <c r="K31" s="548"/>
      <c r="L31" s="548"/>
      <c r="M31" s="548"/>
      <c r="N31" s="548"/>
      <c r="O31" s="548"/>
      <c r="P31" s="548"/>
      <c r="Q31" s="549"/>
    </row>
    <row r="32" spans="2:29" x14ac:dyDescent="0.25">
      <c r="B32" s="550"/>
      <c r="C32" s="551"/>
      <c r="D32" s="551"/>
      <c r="E32" s="551"/>
      <c r="F32" s="551"/>
      <c r="G32" s="551"/>
      <c r="H32" s="551"/>
      <c r="I32" s="551"/>
      <c r="J32" s="551"/>
      <c r="K32" s="551"/>
      <c r="L32" s="551"/>
      <c r="M32" s="551"/>
      <c r="N32" s="551"/>
      <c r="O32" s="551"/>
      <c r="P32" s="551"/>
      <c r="Q32" s="552"/>
    </row>
    <row r="33" spans="2:17" ht="6.75" customHeight="1" x14ac:dyDescent="0.25"/>
    <row r="34" spans="2:17" x14ac:dyDescent="0.25">
      <c r="B34" s="127" t="s">
        <v>486</v>
      </c>
      <c r="C34" s="127"/>
      <c r="D34" s="127"/>
      <c r="E34" s="127"/>
      <c r="F34" s="127"/>
    </row>
    <row r="35" spans="2:17" x14ac:dyDescent="0.25">
      <c r="B35" s="544"/>
      <c r="C35" s="545"/>
      <c r="D35" s="545"/>
      <c r="E35" s="545"/>
      <c r="F35" s="545"/>
      <c r="G35" s="545"/>
      <c r="H35" s="545"/>
      <c r="I35" s="545"/>
      <c r="J35" s="545"/>
      <c r="K35" s="545"/>
      <c r="L35" s="545"/>
      <c r="M35" s="545"/>
      <c r="N35" s="545"/>
      <c r="O35" s="545"/>
      <c r="P35" s="545"/>
      <c r="Q35" s="546"/>
    </row>
    <row r="36" spans="2:17" x14ac:dyDescent="0.25">
      <c r="B36" s="547"/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9"/>
    </row>
    <row r="37" spans="2:17" x14ac:dyDescent="0.25">
      <c r="B37" s="547"/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9"/>
    </row>
    <row r="38" spans="2:17" x14ac:dyDescent="0.25">
      <c r="B38" s="547"/>
      <c r="C38" s="548"/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8"/>
      <c r="Q38" s="549"/>
    </row>
    <row r="39" spans="2:17" x14ac:dyDescent="0.25">
      <c r="B39" s="547"/>
      <c r="C39" s="548"/>
      <c r="D39" s="548"/>
      <c r="E39" s="548"/>
      <c r="F39" s="548"/>
      <c r="G39" s="548"/>
      <c r="H39" s="548"/>
      <c r="I39" s="548"/>
      <c r="J39" s="548"/>
      <c r="K39" s="548"/>
      <c r="L39" s="548"/>
      <c r="M39" s="548"/>
      <c r="N39" s="548"/>
      <c r="O39" s="548"/>
      <c r="P39" s="548"/>
      <c r="Q39" s="549"/>
    </row>
    <row r="40" spans="2:17" x14ac:dyDescent="0.25">
      <c r="B40" s="547"/>
      <c r="C40" s="548"/>
      <c r="D40" s="548"/>
      <c r="E40" s="548"/>
      <c r="F40" s="548"/>
      <c r="G40" s="548"/>
      <c r="H40" s="548"/>
      <c r="I40" s="548"/>
      <c r="J40" s="548"/>
      <c r="K40" s="548"/>
      <c r="L40" s="548"/>
      <c r="M40" s="548"/>
      <c r="N40" s="548"/>
      <c r="O40" s="548"/>
      <c r="P40" s="548"/>
      <c r="Q40" s="549"/>
    </row>
    <row r="41" spans="2:17" x14ac:dyDescent="0.25">
      <c r="B41" s="547"/>
      <c r="C41" s="548"/>
      <c r="D41" s="548"/>
      <c r="E41" s="548"/>
      <c r="F41" s="548"/>
      <c r="G41" s="548"/>
      <c r="H41" s="548"/>
      <c r="I41" s="548"/>
      <c r="J41" s="548"/>
      <c r="K41" s="548"/>
      <c r="L41" s="548"/>
      <c r="M41" s="548"/>
      <c r="N41" s="548"/>
      <c r="O41" s="548"/>
      <c r="P41" s="548"/>
      <c r="Q41" s="549"/>
    </row>
    <row r="42" spans="2:17" x14ac:dyDescent="0.25">
      <c r="B42" s="547"/>
      <c r="C42" s="548"/>
      <c r="D42" s="548"/>
      <c r="E42" s="548"/>
      <c r="F42" s="548"/>
      <c r="G42" s="548"/>
      <c r="H42" s="548"/>
      <c r="I42" s="548"/>
      <c r="J42" s="548"/>
      <c r="K42" s="548"/>
      <c r="L42" s="548"/>
      <c r="M42" s="548"/>
      <c r="N42" s="548"/>
      <c r="O42" s="548"/>
      <c r="P42" s="548"/>
      <c r="Q42" s="549"/>
    </row>
    <row r="43" spans="2:17" x14ac:dyDescent="0.25">
      <c r="B43" s="547"/>
      <c r="C43" s="548"/>
      <c r="D43" s="548"/>
      <c r="E43" s="548"/>
      <c r="F43" s="548"/>
      <c r="G43" s="548"/>
      <c r="H43" s="548"/>
      <c r="I43" s="548"/>
      <c r="J43" s="548"/>
      <c r="K43" s="548"/>
      <c r="L43" s="548"/>
      <c r="M43" s="548"/>
      <c r="N43" s="548"/>
      <c r="O43" s="548"/>
      <c r="P43" s="548"/>
      <c r="Q43" s="549"/>
    </row>
    <row r="44" spans="2:17" x14ac:dyDescent="0.25">
      <c r="B44" s="547"/>
      <c r="C44" s="548"/>
      <c r="D44" s="548"/>
      <c r="E44" s="548"/>
      <c r="F44" s="548"/>
      <c r="G44" s="548"/>
      <c r="H44" s="548"/>
      <c r="I44" s="548"/>
      <c r="J44" s="548"/>
      <c r="K44" s="548"/>
      <c r="L44" s="548"/>
      <c r="M44" s="548"/>
      <c r="N44" s="548"/>
      <c r="O44" s="548"/>
      <c r="P44" s="548"/>
      <c r="Q44" s="549"/>
    </row>
    <row r="45" spans="2:17" x14ac:dyDescent="0.25">
      <c r="B45" s="547"/>
      <c r="C45" s="548"/>
      <c r="D45" s="548"/>
      <c r="E45" s="548"/>
      <c r="F45" s="548"/>
      <c r="G45" s="548"/>
      <c r="H45" s="548"/>
      <c r="I45" s="548"/>
      <c r="J45" s="548"/>
      <c r="K45" s="548"/>
      <c r="L45" s="548"/>
      <c r="M45" s="548"/>
      <c r="N45" s="548"/>
      <c r="O45" s="548"/>
      <c r="P45" s="548"/>
      <c r="Q45" s="549"/>
    </row>
    <row r="46" spans="2:17" x14ac:dyDescent="0.25">
      <c r="B46" s="547"/>
      <c r="C46" s="548"/>
      <c r="D46" s="548"/>
      <c r="E46" s="548"/>
      <c r="F46" s="548"/>
      <c r="G46" s="548"/>
      <c r="H46" s="548"/>
      <c r="I46" s="548"/>
      <c r="J46" s="548"/>
      <c r="K46" s="548"/>
      <c r="L46" s="548"/>
      <c r="M46" s="548"/>
      <c r="N46" s="548"/>
      <c r="O46" s="548"/>
      <c r="P46" s="548"/>
      <c r="Q46" s="549"/>
    </row>
    <row r="47" spans="2:17" x14ac:dyDescent="0.25">
      <c r="B47" s="547"/>
      <c r="C47" s="548"/>
      <c r="D47" s="548"/>
      <c r="E47" s="548"/>
      <c r="F47" s="548"/>
      <c r="G47" s="548"/>
      <c r="H47" s="548"/>
      <c r="I47" s="548"/>
      <c r="J47" s="548"/>
      <c r="K47" s="548"/>
      <c r="L47" s="548"/>
      <c r="M47" s="548"/>
      <c r="N47" s="548"/>
      <c r="O47" s="548"/>
      <c r="P47" s="548"/>
      <c r="Q47" s="549"/>
    </row>
    <row r="48" spans="2:17" x14ac:dyDescent="0.25">
      <c r="B48" s="547"/>
      <c r="C48" s="548"/>
      <c r="D48" s="548"/>
      <c r="E48" s="548"/>
      <c r="F48" s="548"/>
      <c r="G48" s="548"/>
      <c r="H48" s="548"/>
      <c r="I48" s="548"/>
      <c r="J48" s="548"/>
      <c r="K48" s="548"/>
      <c r="L48" s="548"/>
      <c r="M48" s="548"/>
      <c r="N48" s="548"/>
      <c r="O48" s="548"/>
      <c r="P48" s="548"/>
      <c r="Q48" s="549"/>
    </row>
    <row r="49" spans="2:17" x14ac:dyDescent="0.25">
      <c r="B49" s="550"/>
      <c r="C49" s="551"/>
      <c r="D49" s="551"/>
      <c r="E49" s="551"/>
      <c r="F49" s="551"/>
      <c r="G49" s="551"/>
      <c r="H49" s="551"/>
      <c r="I49" s="551"/>
      <c r="J49" s="551"/>
      <c r="K49" s="551"/>
      <c r="L49" s="551"/>
      <c r="M49" s="551"/>
      <c r="N49" s="551"/>
      <c r="O49" s="551"/>
      <c r="P49" s="551"/>
      <c r="Q49" s="552"/>
    </row>
    <row r="52" spans="2:17" x14ac:dyDescent="0.25">
      <c r="B52" s="295"/>
      <c r="C52" s="343"/>
      <c r="D52" s="296"/>
    </row>
    <row r="53" spans="2:17" x14ac:dyDescent="0.25">
      <c r="B53" s="534" t="s">
        <v>117</v>
      </c>
      <c r="C53" s="534"/>
      <c r="D53" s="534"/>
      <c r="J53" s="535" t="s">
        <v>118</v>
      </c>
      <c r="K53" s="535"/>
      <c r="L53" s="535"/>
      <c r="M53" s="535"/>
      <c r="N53" s="535"/>
      <c r="O53" s="535"/>
      <c r="P53" s="535"/>
      <c r="Q53" s="535"/>
    </row>
  </sheetData>
  <sheetProtection algorithmName="SHA-512" hashValue="WZuZkEvoaZNG7WLechuoh/07mrFjjVzvzGLguwaTgGqSdD0ynu/YTSZ7MVA1Q3CY1ub693NdlwS3f7BX0IB1mw==" saltValue="5h9t/LrIyAppYTfQS8gjmA==" spinCount="100000" sheet="1" objects="1" scenarios="1" formatCells="0" selectLockedCells="1"/>
  <mergeCells count="30">
    <mergeCell ref="B16:D16"/>
    <mergeCell ref="F16:G16"/>
    <mergeCell ref="B24:Q32"/>
    <mergeCell ref="B35:Q49"/>
    <mergeCell ref="B52:D52"/>
    <mergeCell ref="B53:D53"/>
    <mergeCell ref="J53:Q53"/>
    <mergeCell ref="F8:G8"/>
    <mergeCell ref="F14:G14"/>
    <mergeCell ref="K20:Q20"/>
    <mergeCell ref="H16:R16"/>
    <mergeCell ref="B18:G18"/>
    <mergeCell ref="H18:R18"/>
    <mergeCell ref="B20:F20"/>
    <mergeCell ref="H20:I20"/>
    <mergeCell ref="B23:F23"/>
    <mergeCell ref="B8:E8"/>
    <mergeCell ref="B10:E10"/>
    <mergeCell ref="F10:R10"/>
    <mergeCell ref="F12:R12"/>
    <mergeCell ref="B14:E14"/>
    <mergeCell ref="U2:AC6"/>
    <mergeCell ref="I8:Q8"/>
    <mergeCell ref="I14:R14"/>
    <mergeCell ref="K1:P1"/>
    <mergeCell ref="B2:R2"/>
    <mergeCell ref="B4:E4"/>
    <mergeCell ref="F4:R4"/>
    <mergeCell ref="B6:E6"/>
    <mergeCell ref="F6:R6"/>
  </mergeCells>
  <pageMargins left="0.39370078740157483" right="0.19685039370078741" top="0.19685039370078741" bottom="0.39370078740157483" header="0.31496062992125984" footer="0.19685039370078741"/>
  <pageSetup paperSize="9" fitToHeight="0" orientation="portrait" r:id="rId1"/>
  <headerFooter>
    <oddFooter>&amp;L&amp;7Univerzita Karlova Právnická fakulta 
nám. Curieových 901/7
116 40  Praha 1&amp;C&amp;7IČO: 00216208 
 DIČ: CZ00216208&amp;R&amp;7v. 2022.10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FD86D-F8A5-447B-B33B-BF00DE871C74}">
  <sheetPr codeName="List5"/>
  <dimension ref="A1:AH166"/>
  <sheetViews>
    <sheetView workbookViewId="0">
      <selection activeCell="A2" sqref="A2"/>
    </sheetView>
  </sheetViews>
  <sheetFormatPr defaultRowHeight="15" x14ac:dyDescent="0.25"/>
  <cols>
    <col min="1" max="1" width="10.140625" bestFit="1" customWidth="1"/>
    <col min="2" max="3" width="7" bestFit="1" customWidth="1"/>
    <col min="4" max="4" width="6" bestFit="1" customWidth="1"/>
    <col min="5" max="6" width="7" bestFit="1" customWidth="1"/>
    <col min="7" max="7" width="6.140625" bestFit="1" customWidth="1"/>
    <col min="8" max="8" width="6" bestFit="1" customWidth="1"/>
    <col min="9" max="10" width="7" bestFit="1" customWidth="1"/>
    <col min="11" max="11" width="6.140625" bestFit="1" customWidth="1"/>
    <col min="12" max="12" width="6" bestFit="1" customWidth="1"/>
    <col min="13" max="13" width="8.140625" bestFit="1" customWidth="1"/>
    <col min="14" max="14" width="8.42578125" bestFit="1" customWidth="1"/>
    <col min="15" max="15" width="6" bestFit="1" customWidth="1"/>
    <col min="16" max="16" width="7.5703125" bestFit="1" customWidth="1"/>
    <col min="17" max="17" width="7.140625" bestFit="1" customWidth="1"/>
    <col min="18" max="18" width="7.42578125" bestFit="1" customWidth="1"/>
    <col min="19" max="19" width="8.7109375" bestFit="1" customWidth="1"/>
    <col min="20" max="20" width="6.85546875" bestFit="1" customWidth="1"/>
    <col min="21" max="21" width="6.5703125" bestFit="1" customWidth="1"/>
    <col min="22" max="22" width="6.42578125" bestFit="1" customWidth="1"/>
    <col min="23" max="23" width="7" bestFit="1" customWidth="1"/>
    <col min="24" max="24" width="8" bestFit="1" customWidth="1"/>
    <col min="25" max="25" width="6" bestFit="1" customWidth="1"/>
    <col min="26" max="26" width="6.42578125" bestFit="1" customWidth="1"/>
    <col min="27" max="27" width="8.140625" bestFit="1" customWidth="1"/>
    <col min="28" max="29" width="7" bestFit="1" customWidth="1"/>
    <col min="30" max="30" width="7.85546875" bestFit="1" customWidth="1"/>
    <col min="31" max="33" width="7" bestFit="1" customWidth="1"/>
    <col min="34" max="34" width="6" bestFit="1" customWidth="1"/>
  </cols>
  <sheetData>
    <row r="1" spans="1:34" x14ac:dyDescent="0.25">
      <c r="A1" t="s">
        <v>2</v>
      </c>
      <c r="B1" t="s">
        <v>383</v>
      </c>
      <c r="C1" t="s">
        <v>384</v>
      </c>
      <c r="D1" t="s">
        <v>385</v>
      </c>
      <c r="E1" t="s">
        <v>386</v>
      </c>
      <c r="F1" t="s">
        <v>387</v>
      </c>
      <c r="G1" t="s">
        <v>388</v>
      </c>
      <c r="H1" t="s">
        <v>389</v>
      </c>
      <c r="I1" t="s">
        <v>390</v>
      </c>
      <c r="J1" t="s">
        <v>391</v>
      </c>
      <c r="K1" t="s">
        <v>392</v>
      </c>
      <c r="L1" t="s">
        <v>393</v>
      </c>
      <c r="M1" t="s">
        <v>394</v>
      </c>
      <c r="N1" t="s">
        <v>395</v>
      </c>
      <c r="O1" t="s">
        <v>396</v>
      </c>
      <c r="P1" t="s">
        <v>397</v>
      </c>
      <c r="Q1" t="s">
        <v>398</v>
      </c>
      <c r="R1" t="s">
        <v>399</v>
      </c>
      <c r="S1" t="s">
        <v>400</v>
      </c>
      <c r="T1" t="s">
        <v>401</v>
      </c>
      <c r="U1" t="s">
        <v>402</v>
      </c>
      <c r="V1" t="s">
        <v>403</v>
      </c>
      <c r="W1" t="s">
        <v>404</v>
      </c>
      <c r="X1" t="s">
        <v>405</v>
      </c>
      <c r="Y1" t="s">
        <v>406</v>
      </c>
      <c r="Z1" t="s">
        <v>407</v>
      </c>
      <c r="AA1" t="s">
        <v>408</v>
      </c>
      <c r="AB1" t="s">
        <v>409</v>
      </c>
      <c r="AC1" t="s">
        <v>410</v>
      </c>
      <c r="AD1" t="s">
        <v>411</v>
      </c>
      <c r="AE1" t="s">
        <v>412</v>
      </c>
      <c r="AF1" t="s">
        <v>413</v>
      </c>
      <c r="AG1" t="s">
        <v>414</v>
      </c>
      <c r="AH1" t="s">
        <v>415</v>
      </c>
    </row>
    <row r="2" spans="1:34" x14ac:dyDescent="0.25">
      <c r="A2" s="143">
        <v>44564</v>
      </c>
      <c r="B2">
        <v>15.818</v>
      </c>
      <c r="C2">
        <v>12.69</v>
      </c>
      <c r="D2">
        <v>3.9060000000000001</v>
      </c>
      <c r="E2">
        <v>17.21</v>
      </c>
      <c r="F2">
        <v>23.931000000000001</v>
      </c>
      <c r="G2">
        <v>3.4409999999999998</v>
      </c>
      <c r="H2">
        <v>3.3370000000000002</v>
      </c>
      <c r="I2">
        <v>24.82</v>
      </c>
      <c r="J2">
        <v>29.501999999999999</v>
      </c>
      <c r="K2">
        <v>2.8029999999999999</v>
      </c>
      <c r="L2">
        <v>3.3010000000000002</v>
      </c>
      <c r="M2">
        <v>6.7510000000000003</v>
      </c>
      <c r="N2">
        <v>1.532</v>
      </c>
      <c r="O2">
        <v>7.0679999999999996</v>
      </c>
      <c r="P2">
        <v>29.411999999999999</v>
      </c>
      <c r="Q2">
        <v>16.815999999999999</v>
      </c>
      <c r="R2">
        <v>19.015999999999998</v>
      </c>
      <c r="S2">
        <v>1.833</v>
      </c>
      <c r="T2">
        <v>1.0680000000000001</v>
      </c>
      <c r="U2">
        <v>5.2389999999999999</v>
      </c>
      <c r="V2">
        <v>2.4809999999999999</v>
      </c>
      <c r="W2">
        <v>14.901999999999999</v>
      </c>
      <c r="X2">
        <v>42.756999999999998</v>
      </c>
      <c r="Y2">
        <v>5.4080000000000004</v>
      </c>
      <c r="Z2">
        <v>5.016</v>
      </c>
      <c r="AA2">
        <v>29.361999999999998</v>
      </c>
      <c r="AB2">
        <v>2.41</v>
      </c>
      <c r="AC2">
        <v>16.189</v>
      </c>
      <c r="AD2">
        <v>65.897000000000006</v>
      </c>
      <c r="AE2">
        <v>1.6459999999999999</v>
      </c>
      <c r="AF2">
        <v>21.86</v>
      </c>
      <c r="AG2">
        <v>30.594999999999999</v>
      </c>
      <c r="AH2">
        <v>1.3819999999999999</v>
      </c>
    </row>
    <row r="3" spans="1:34" x14ac:dyDescent="0.25">
      <c r="A3" s="143">
        <v>44565</v>
      </c>
      <c r="B3">
        <v>15.784000000000001</v>
      </c>
      <c r="C3">
        <v>12.654999999999999</v>
      </c>
      <c r="D3">
        <v>3.8570000000000002</v>
      </c>
      <c r="E3">
        <v>17.210999999999999</v>
      </c>
      <c r="F3">
        <v>23.902999999999999</v>
      </c>
      <c r="G3">
        <v>3.4409999999999998</v>
      </c>
      <c r="H3">
        <v>3.3279999999999998</v>
      </c>
      <c r="I3">
        <v>24.75</v>
      </c>
      <c r="J3">
        <v>29.599</v>
      </c>
      <c r="K3">
        <v>2.8149999999999999</v>
      </c>
      <c r="L3">
        <v>3.2919999999999998</v>
      </c>
      <c r="M3">
        <v>6.7789999999999999</v>
      </c>
      <c r="N3">
        <v>1.534</v>
      </c>
      <c r="O3">
        <v>7.09</v>
      </c>
      <c r="P3">
        <v>29.393999999999998</v>
      </c>
      <c r="Q3">
        <v>16.745999999999999</v>
      </c>
      <c r="R3">
        <v>18.87</v>
      </c>
      <c r="S3">
        <v>1.829</v>
      </c>
      <c r="T3">
        <v>1.0669999999999999</v>
      </c>
      <c r="U3">
        <v>5.242</v>
      </c>
      <c r="V3">
        <v>2.472</v>
      </c>
      <c r="W3">
        <v>14.849</v>
      </c>
      <c r="X3">
        <v>42.683</v>
      </c>
      <c r="Y3">
        <v>5.4189999999999996</v>
      </c>
      <c r="Z3">
        <v>5.0019999999999998</v>
      </c>
      <c r="AA3">
        <v>29.146000000000001</v>
      </c>
      <c r="AB3">
        <v>2.407</v>
      </c>
      <c r="AC3">
        <v>16.166</v>
      </c>
      <c r="AD3">
        <v>65.861999999999995</v>
      </c>
      <c r="AE3">
        <v>1.635</v>
      </c>
      <c r="AF3">
        <v>21.943999999999999</v>
      </c>
      <c r="AG3">
        <v>30.744</v>
      </c>
      <c r="AH3">
        <v>1.367</v>
      </c>
    </row>
    <row r="4" spans="1:34" x14ac:dyDescent="0.25">
      <c r="A4" s="143">
        <v>44566</v>
      </c>
      <c r="B4">
        <v>15.763999999999999</v>
      </c>
      <c r="C4">
        <v>12.567</v>
      </c>
      <c r="D4">
        <v>3.831</v>
      </c>
      <c r="E4">
        <v>17.076000000000001</v>
      </c>
      <c r="F4" s="192">
        <v>23.722000000000001</v>
      </c>
      <c r="G4">
        <v>3.4140000000000001</v>
      </c>
      <c r="H4">
        <v>3.3050000000000002</v>
      </c>
      <c r="I4">
        <v>24.58</v>
      </c>
      <c r="J4">
        <v>29.425999999999998</v>
      </c>
      <c r="K4">
        <v>2.7890000000000001</v>
      </c>
      <c r="L4">
        <v>3.2679999999999998</v>
      </c>
      <c r="M4">
        <v>6.7880000000000003</v>
      </c>
      <c r="N4">
        <v>1.514</v>
      </c>
      <c r="O4">
        <v>7.03</v>
      </c>
      <c r="P4">
        <v>29.234000000000002</v>
      </c>
      <c r="Q4">
        <v>16.744</v>
      </c>
      <c r="R4">
        <v>18.759</v>
      </c>
      <c r="S4">
        <v>1.8160000000000001</v>
      </c>
      <c r="T4">
        <v>1.0629999999999999</v>
      </c>
      <c r="U4">
        <v>5.1840000000000002</v>
      </c>
      <c r="V4">
        <v>2.4649999999999999</v>
      </c>
      <c r="W4">
        <v>14.814</v>
      </c>
      <c r="X4">
        <v>42.637</v>
      </c>
      <c r="Y4">
        <v>5.3819999999999997</v>
      </c>
      <c r="Z4">
        <v>4.97</v>
      </c>
      <c r="AA4">
        <v>28.696999999999999</v>
      </c>
      <c r="AB4">
        <v>2.3969999999999998</v>
      </c>
      <c r="AC4">
        <v>16.04</v>
      </c>
      <c r="AD4">
        <v>65.438999999999993</v>
      </c>
      <c r="AE4">
        <v>1.613</v>
      </c>
      <c r="AF4">
        <v>21.739000000000001</v>
      </c>
      <c r="AG4">
        <v>30.359000000000002</v>
      </c>
      <c r="AH4">
        <v>1.3720000000000001</v>
      </c>
    </row>
    <row r="5" spans="1:34" x14ac:dyDescent="0.25">
      <c r="A5" s="143">
        <v>44567</v>
      </c>
      <c r="B5">
        <v>15.547000000000001</v>
      </c>
      <c r="C5">
        <v>12.542</v>
      </c>
      <c r="D5">
        <v>3.81</v>
      </c>
      <c r="E5">
        <v>16.977</v>
      </c>
      <c r="F5">
        <v>23.6</v>
      </c>
      <c r="G5">
        <v>3.3980000000000001</v>
      </c>
      <c r="H5" s="192">
        <v>3.2970000000000002</v>
      </c>
      <c r="I5">
        <v>24.53</v>
      </c>
      <c r="J5">
        <v>29.344999999999999</v>
      </c>
      <c r="K5">
        <v>2.7789999999999999</v>
      </c>
      <c r="L5">
        <v>3.2610000000000001</v>
      </c>
      <c r="M5">
        <v>6.8170000000000002</v>
      </c>
      <c r="N5">
        <v>1.506</v>
      </c>
      <c r="O5">
        <v>6.96</v>
      </c>
      <c r="P5">
        <v>29.117999999999999</v>
      </c>
      <c r="Q5">
        <v>16.71</v>
      </c>
      <c r="R5">
        <v>18.719000000000001</v>
      </c>
      <c r="S5">
        <v>1.8009999999999999</v>
      </c>
      <c r="T5">
        <v>1.0549999999999999</v>
      </c>
      <c r="U5">
        <v>5.1459999999999999</v>
      </c>
      <c r="V5">
        <v>2.444</v>
      </c>
      <c r="W5">
        <v>14.645</v>
      </c>
      <c r="X5">
        <v>42.335000000000001</v>
      </c>
      <c r="Y5">
        <v>5.3780000000000001</v>
      </c>
      <c r="Z5">
        <v>4.9619999999999997</v>
      </c>
      <c r="AA5">
        <v>28.356000000000002</v>
      </c>
      <c r="AB5">
        <v>2.375</v>
      </c>
      <c r="AC5">
        <v>15.944000000000001</v>
      </c>
      <c r="AD5">
        <v>64.656000000000006</v>
      </c>
      <c r="AE5">
        <v>1.5780000000000001</v>
      </c>
      <c r="AF5">
        <v>21.678999999999998</v>
      </c>
      <c r="AG5">
        <v>30.332000000000001</v>
      </c>
      <c r="AH5">
        <v>1.379</v>
      </c>
    </row>
    <row r="6" spans="1:34" x14ac:dyDescent="0.25">
      <c r="A6" s="143">
        <v>44568</v>
      </c>
      <c r="B6">
        <v>15.462</v>
      </c>
      <c r="C6">
        <v>12.494999999999999</v>
      </c>
      <c r="D6">
        <v>3.798</v>
      </c>
      <c r="E6">
        <v>17</v>
      </c>
      <c r="F6">
        <v>23.45</v>
      </c>
      <c r="G6">
        <v>3.391</v>
      </c>
      <c r="H6">
        <v>3.286</v>
      </c>
      <c r="I6">
        <v>24.44</v>
      </c>
      <c r="J6">
        <v>29.291</v>
      </c>
      <c r="K6">
        <v>2.7719999999999998</v>
      </c>
      <c r="L6">
        <v>3.25</v>
      </c>
      <c r="M6">
        <v>6.8129999999999997</v>
      </c>
      <c r="N6">
        <v>1.506</v>
      </c>
      <c r="O6">
        <v>6.9550000000000001</v>
      </c>
      <c r="P6">
        <v>29.097999999999999</v>
      </c>
      <c r="Q6">
        <v>16.739999999999998</v>
      </c>
      <c r="R6">
        <v>18.667999999999999</v>
      </c>
      <c r="S6">
        <v>1.796</v>
      </c>
      <c r="T6">
        <v>1.0569999999999999</v>
      </c>
      <c r="U6">
        <v>5.1379999999999999</v>
      </c>
      <c r="V6">
        <v>2.4369999999999998</v>
      </c>
      <c r="W6">
        <v>14.595000000000001</v>
      </c>
      <c r="X6">
        <v>42.094000000000001</v>
      </c>
      <c r="Y6">
        <v>5.3719999999999999</v>
      </c>
      <c r="Z6">
        <v>4.9420000000000002</v>
      </c>
      <c r="AA6">
        <v>28.658999999999999</v>
      </c>
      <c r="AB6">
        <v>2.3759999999999999</v>
      </c>
      <c r="AC6">
        <v>15.912000000000001</v>
      </c>
      <c r="AD6">
        <v>64.203999999999994</v>
      </c>
      <c r="AE6">
        <v>1.554</v>
      </c>
      <c r="AF6">
        <v>21.626000000000001</v>
      </c>
      <c r="AG6">
        <v>30.242999999999999</v>
      </c>
      <c r="AH6">
        <v>1.3839999999999999</v>
      </c>
    </row>
    <row r="7" spans="1:34" x14ac:dyDescent="0.25">
      <c r="A7" s="143">
        <v>44571</v>
      </c>
      <c r="B7">
        <v>15.444000000000001</v>
      </c>
      <c r="C7">
        <v>12.456</v>
      </c>
      <c r="D7">
        <v>3.8090000000000002</v>
      </c>
      <c r="E7">
        <v>17.004000000000001</v>
      </c>
      <c r="F7">
        <v>23.317</v>
      </c>
      <c r="G7">
        <v>3.3780000000000001</v>
      </c>
      <c r="H7">
        <v>3.2749999999999999</v>
      </c>
      <c r="I7">
        <v>24.36</v>
      </c>
      <c r="J7">
        <v>29.212</v>
      </c>
      <c r="K7">
        <v>2.7610000000000001</v>
      </c>
      <c r="L7">
        <v>3.2370000000000001</v>
      </c>
      <c r="M7">
        <v>6.7960000000000003</v>
      </c>
      <c r="N7">
        <v>1.504</v>
      </c>
      <c r="O7">
        <v>6.9009999999999998</v>
      </c>
      <c r="P7">
        <v>29.073</v>
      </c>
      <c r="Q7">
        <v>16.661999999999999</v>
      </c>
      <c r="R7">
        <v>18.673999999999999</v>
      </c>
      <c r="S7">
        <v>1.7969999999999999</v>
      </c>
      <c r="T7">
        <v>1.056</v>
      </c>
      <c r="U7">
        <v>5.125</v>
      </c>
      <c r="V7">
        <v>2.4300000000000002</v>
      </c>
      <c r="W7">
        <v>14.542</v>
      </c>
      <c r="X7">
        <v>41.902000000000001</v>
      </c>
      <c r="Y7">
        <v>5.3730000000000002</v>
      </c>
      <c r="Z7">
        <v>4.9260000000000002</v>
      </c>
      <c r="AA7">
        <v>28.664000000000001</v>
      </c>
      <c r="AB7">
        <v>2.3639999999999999</v>
      </c>
      <c r="AC7">
        <v>15.877000000000001</v>
      </c>
      <c r="AD7">
        <v>64.022999999999996</v>
      </c>
      <c r="AE7">
        <v>1.5469999999999999</v>
      </c>
      <c r="AF7">
        <v>21.524999999999999</v>
      </c>
      <c r="AG7">
        <v>30.096</v>
      </c>
      <c r="AH7">
        <v>1.3759999999999999</v>
      </c>
    </row>
    <row r="8" spans="1:34" x14ac:dyDescent="0.25">
      <c r="A8" s="143">
        <v>44572</v>
      </c>
      <c r="B8">
        <v>15.449</v>
      </c>
      <c r="C8">
        <v>12.483000000000001</v>
      </c>
      <c r="D8">
        <v>3.8210000000000002</v>
      </c>
      <c r="E8">
        <v>17.035</v>
      </c>
      <c r="F8">
        <v>23.25</v>
      </c>
      <c r="G8">
        <v>3.379</v>
      </c>
      <c r="H8">
        <v>3.2810000000000001</v>
      </c>
      <c r="I8">
        <v>24.414999999999999</v>
      </c>
      <c r="J8">
        <v>29.251999999999999</v>
      </c>
      <c r="K8">
        <v>2.762</v>
      </c>
      <c r="L8">
        <v>3.2450000000000001</v>
      </c>
      <c r="M8">
        <v>6.83</v>
      </c>
      <c r="N8">
        <v>1.506</v>
      </c>
      <c r="O8">
        <v>6.8780000000000001</v>
      </c>
      <c r="P8">
        <v>29.152999999999999</v>
      </c>
      <c r="Q8">
        <v>16.609000000000002</v>
      </c>
      <c r="R8">
        <v>18.645</v>
      </c>
      <c r="S8">
        <v>1.8049999999999999</v>
      </c>
      <c r="T8">
        <v>1.0569999999999999</v>
      </c>
      <c r="U8">
        <v>5.1379999999999999</v>
      </c>
      <c r="V8">
        <v>2.4380000000000002</v>
      </c>
      <c r="W8">
        <v>14.557</v>
      </c>
      <c r="X8">
        <v>42.11</v>
      </c>
      <c r="Y8">
        <v>5.3719999999999999</v>
      </c>
      <c r="Z8">
        <v>4.9370000000000003</v>
      </c>
      <c r="AA8">
        <v>28.768999999999998</v>
      </c>
      <c r="AB8">
        <v>2.3690000000000002</v>
      </c>
      <c r="AC8">
        <v>15.914999999999999</v>
      </c>
      <c r="AD8">
        <v>64.515000000000001</v>
      </c>
      <c r="AE8">
        <v>1.5660000000000001</v>
      </c>
      <c r="AF8">
        <v>21.538</v>
      </c>
      <c r="AG8">
        <v>30.151</v>
      </c>
      <c r="AH8">
        <v>1.379</v>
      </c>
    </row>
    <row r="9" spans="1:34" x14ac:dyDescent="0.25">
      <c r="A9" s="143">
        <v>44573</v>
      </c>
      <c r="B9">
        <v>15.494999999999999</v>
      </c>
      <c r="C9">
        <v>12.486000000000001</v>
      </c>
      <c r="D9">
        <v>3.847</v>
      </c>
      <c r="E9">
        <v>17.126999999999999</v>
      </c>
      <c r="F9">
        <v>23.285</v>
      </c>
      <c r="G9">
        <v>3.375</v>
      </c>
      <c r="H9">
        <v>3.282</v>
      </c>
      <c r="I9">
        <v>24.42</v>
      </c>
      <c r="J9">
        <v>29.302</v>
      </c>
      <c r="K9">
        <v>2.754</v>
      </c>
      <c r="L9">
        <v>3.246</v>
      </c>
      <c r="M9">
        <v>6.8579999999999997</v>
      </c>
      <c r="N9">
        <v>1.5</v>
      </c>
      <c r="O9">
        <v>6.8949999999999996</v>
      </c>
      <c r="P9">
        <v>29.055</v>
      </c>
      <c r="Q9">
        <v>16.611999999999998</v>
      </c>
      <c r="R9">
        <v>18.606000000000002</v>
      </c>
      <c r="S9">
        <v>1.804</v>
      </c>
      <c r="T9">
        <v>1.0529999999999999</v>
      </c>
      <c r="U9">
        <v>5.1289999999999996</v>
      </c>
      <c r="V9">
        <v>2.4609999999999999</v>
      </c>
      <c r="W9">
        <v>14.561</v>
      </c>
      <c r="X9">
        <v>42.06</v>
      </c>
      <c r="Y9">
        <v>5.3849999999999998</v>
      </c>
      <c r="Z9">
        <v>4.9379999999999997</v>
      </c>
      <c r="AA9">
        <v>28.8</v>
      </c>
      <c r="AB9">
        <v>2.3809999999999998</v>
      </c>
      <c r="AC9">
        <v>15.898</v>
      </c>
      <c r="AD9">
        <v>64.39</v>
      </c>
      <c r="AE9">
        <v>1.556</v>
      </c>
      <c r="AF9">
        <v>21.47</v>
      </c>
      <c r="AG9">
        <v>30.065999999999999</v>
      </c>
      <c r="AH9">
        <v>1.391</v>
      </c>
    </row>
    <row r="10" spans="1:34" x14ac:dyDescent="0.25">
      <c r="A10" s="143">
        <v>44574</v>
      </c>
      <c r="B10">
        <v>15.571</v>
      </c>
      <c r="C10">
        <v>12.505000000000001</v>
      </c>
      <c r="D10">
        <v>3.851</v>
      </c>
      <c r="E10">
        <v>17.106000000000002</v>
      </c>
      <c r="F10">
        <v>23.399000000000001</v>
      </c>
      <c r="G10">
        <v>3.355</v>
      </c>
      <c r="H10">
        <v>3.2869999999999999</v>
      </c>
      <c r="I10">
        <v>24.46</v>
      </c>
      <c r="J10">
        <v>29.273</v>
      </c>
      <c r="K10">
        <v>2.74</v>
      </c>
      <c r="L10">
        <v>3.2519999999999998</v>
      </c>
      <c r="M10">
        <v>6.8849999999999998</v>
      </c>
      <c r="N10">
        <v>1.4930000000000001</v>
      </c>
      <c r="O10">
        <v>6.8639999999999999</v>
      </c>
      <c r="P10">
        <v>28.873999999999999</v>
      </c>
      <c r="Q10">
        <v>16.638999999999999</v>
      </c>
      <c r="R10">
        <v>18.678000000000001</v>
      </c>
      <c r="S10">
        <v>1.8</v>
      </c>
      <c r="T10">
        <v>1.0449999999999999</v>
      </c>
      <c r="U10">
        <v>5.1100000000000003</v>
      </c>
      <c r="V10">
        <v>2.4620000000000002</v>
      </c>
      <c r="W10">
        <v>14.667</v>
      </c>
      <c r="X10">
        <v>41.764000000000003</v>
      </c>
      <c r="Y10">
        <v>5.3920000000000003</v>
      </c>
      <c r="Z10">
        <v>4.9470000000000001</v>
      </c>
      <c r="AA10">
        <v>28.242000000000001</v>
      </c>
      <c r="AB10">
        <v>2.3889999999999998</v>
      </c>
      <c r="AC10">
        <v>15.856999999999999</v>
      </c>
      <c r="AD10">
        <v>64.296999999999997</v>
      </c>
      <c r="AE10">
        <v>1.571</v>
      </c>
      <c r="AF10">
        <v>21.34</v>
      </c>
      <c r="AG10">
        <v>29.916</v>
      </c>
      <c r="AH10">
        <v>1.3859999999999999</v>
      </c>
    </row>
    <row r="11" spans="1:34" x14ac:dyDescent="0.25">
      <c r="A11" s="143">
        <v>44575</v>
      </c>
      <c r="B11">
        <v>15.5</v>
      </c>
      <c r="C11">
        <v>12.523</v>
      </c>
      <c r="D11">
        <v>3.867</v>
      </c>
      <c r="E11">
        <v>17.094000000000001</v>
      </c>
      <c r="F11">
        <v>23.481000000000002</v>
      </c>
      <c r="G11">
        <v>3.3679999999999999</v>
      </c>
      <c r="H11">
        <v>3.2919999999999998</v>
      </c>
      <c r="I11">
        <v>24.495000000000001</v>
      </c>
      <c r="J11">
        <v>29.332000000000001</v>
      </c>
      <c r="K11">
        <v>2.7490000000000001</v>
      </c>
      <c r="L11">
        <v>3.258</v>
      </c>
      <c r="M11">
        <v>6.8780000000000001</v>
      </c>
      <c r="N11">
        <v>1.4970000000000001</v>
      </c>
      <c r="O11">
        <v>6.8879999999999999</v>
      </c>
      <c r="P11">
        <v>28.835999999999999</v>
      </c>
      <c r="Q11">
        <v>16.663</v>
      </c>
      <c r="R11">
        <v>18.815999999999999</v>
      </c>
      <c r="S11">
        <v>1.7989999999999999</v>
      </c>
      <c r="T11">
        <v>1.0529999999999999</v>
      </c>
      <c r="U11">
        <v>5.1219999999999999</v>
      </c>
      <c r="V11">
        <v>2.452</v>
      </c>
      <c r="W11">
        <v>14.627000000000001</v>
      </c>
      <c r="X11">
        <v>41.716999999999999</v>
      </c>
      <c r="Y11">
        <v>5.3920000000000003</v>
      </c>
      <c r="Z11">
        <v>4.9560000000000004</v>
      </c>
      <c r="AA11">
        <v>27.824000000000002</v>
      </c>
      <c r="AB11">
        <v>2.3849999999999998</v>
      </c>
      <c r="AC11">
        <v>15.888999999999999</v>
      </c>
      <c r="AD11">
        <v>64.411000000000001</v>
      </c>
      <c r="AE11">
        <v>1.5760000000000001</v>
      </c>
      <c r="AF11">
        <v>21.4</v>
      </c>
      <c r="AG11">
        <v>30.119</v>
      </c>
      <c r="AH11">
        <v>1.391</v>
      </c>
    </row>
    <row r="12" spans="1:34" x14ac:dyDescent="0.25">
      <c r="A12" s="143">
        <v>44578</v>
      </c>
      <c r="B12">
        <v>15.478999999999999</v>
      </c>
      <c r="C12">
        <v>12.512</v>
      </c>
      <c r="D12">
        <v>3.8969999999999998</v>
      </c>
      <c r="E12">
        <v>17.128</v>
      </c>
      <c r="F12">
        <v>23.460999999999999</v>
      </c>
      <c r="G12">
        <v>3.38</v>
      </c>
      <c r="H12">
        <v>3.2879999999999998</v>
      </c>
      <c r="I12">
        <v>24.47</v>
      </c>
      <c r="J12">
        <v>29.283000000000001</v>
      </c>
      <c r="K12">
        <v>2.754</v>
      </c>
      <c r="L12">
        <v>3.2509999999999999</v>
      </c>
      <c r="M12">
        <v>6.8719999999999999</v>
      </c>
      <c r="N12">
        <v>1.4990000000000001</v>
      </c>
      <c r="O12">
        <v>6.899</v>
      </c>
      <c r="P12">
        <v>28.885000000000002</v>
      </c>
      <c r="Q12">
        <v>16.669</v>
      </c>
      <c r="R12">
        <v>18.731000000000002</v>
      </c>
      <c r="S12">
        <v>1.8</v>
      </c>
      <c r="T12">
        <v>1.0549999999999999</v>
      </c>
      <c r="U12">
        <v>5.13</v>
      </c>
      <c r="V12">
        <v>2.456</v>
      </c>
      <c r="W12">
        <v>14.597</v>
      </c>
      <c r="X12">
        <v>41.835000000000001</v>
      </c>
      <c r="Y12">
        <v>5.4080000000000004</v>
      </c>
      <c r="Z12">
        <v>4.9489999999999998</v>
      </c>
      <c r="AA12">
        <v>28.004000000000001</v>
      </c>
      <c r="AB12">
        <v>2.375</v>
      </c>
      <c r="AC12">
        <v>15.917</v>
      </c>
      <c r="AD12">
        <v>64.808000000000007</v>
      </c>
      <c r="AE12">
        <v>1.601</v>
      </c>
      <c r="AF12">
        <v>21.460999999999999</v>
      </c>
      <c r="AG12">
        <v>30.215</v>
      </c>
      <c r="AH12">
        <v>1.39</v>
      </c>
    </row>
    <row r="13" spans="1:34" x14ac:dyDescent="0.25">
      <c r="A13" s="143">
        <v>44579</v>
      </c>
      <c r="B13">
        <v>15.427</v>
      </c>
      <c r="C13">
        <v>12.488</v>
      </c>
      <c r="D13">
        <v>3.89</v>
      </c>
      <c r="E13">
        <v>17.166</v>
      </c>
      <c r="F13">
        <v>23.45</v>
      </c>
      <c r="G13">
        <v>3.3849999999999998</v>
      </c>
      <c r="H13">
        <v>3.282</v>
      </c>
      <c r="I13">
        <v>24.425000000000001</v>
      </c>
      <c r="J13">
        <v>29.190999999999999</v>
      </c>
      <c r="K13">
        <v>2.758</v>
      </c>
      <c r="L13">
        <v>3.2469999999999999</v>
      </c>
      <c r="M13">
        <v>6.843</v>
      </c>
      <c r="N13">
        <v>1.4990000000000001</v>
      </c>
      <c r="O13">
        <v>6.8680000000000003</v>
      </c>
      <c r="P13">
        <v>28.798999999999999</v>
      </c>
      <c r="Q13">
        <v>16.728999999999999</v>
      </c>
      <c r="R13">
        <v>18.73</v>
      </c>
      <c r="S13">
        <v>1.802</v>
      </c>
      <c r="T13">
        <v>1.0549999999999999</v>
      </c>
      <c r="U13">
        <v>5.1360000000000001</v>
      </c>
      <c r="V13">
        <v>2.4510000000000001</v>
      </c>
      <c r="W13">
        <v>14.539</v>
      </c>
      <c r="X13">
        <v>41.715000000000003</v>
      </c>
      <c r="Y13">
        <v>5.3970000000000002</v>
      </c>
      <c r="Z13">
        <v>4.9390000000000001</v>
      </c>
      <c r="AA13">
        <v>28.155999999999999</v>
      </c>
      <c r="AB13">
        <v>2.367</v>
      </c>
      <c r="AC13">
        <v>15.913</v>
      </c>
      <c r="AD13">
        <v>64.903999999999996</v>
      </c>
      <c r="AE13">
        <v>1.5820000000000001</v>
      </c>
      <c r="AF13">
        <v>21.488</v>
      </c>
      <c r="AG13">
        <v>30.251999999999999</v>
      </c>
      <c r="AH13">
        <v>1.3919999999999999</v>
      </c>
    </row>
    <row r="14" spans="1:34" x14ac:dyDescent="0.25">
      <c r="A14" s="143">
        <v>44580</v>
      </c>
      <c r="B14">
        <v>15.477</v>
      </c>
      <c r="C14">
        <v>12.429</v>
      </c>
      <c r="D14">
        <v>3.8809999999999998</v>
      </c>
      <c r="E14">
        <v>17.187999999999999</v>
      </c>
      <c r="F14">
        <v>23.414000000000001</v>
      </c>
      <c r="G14">
        <v>3.3759999999999999</v>
      </c>
      <c r="H14">
        <v>3.2669999999999999</v>
      </c>
      <c r="I14">
        <v>24.31</v>
      </c>
      <c r="J14">
        <v>29.23</v>
      </c>
      <c r="K14">
        <v>2.75</v>
      </c>
      <c r="L14">
        <v>3.23</v>
      </c>
      <c r="M14">
        <v>6.8310000000000004</v>
      </c>
      <c r="N14">
        <v>1.492</v>
      </c>
      <c r="O14">
        <v>6.84</v>
      </c>
      <c r="P14">
        <v>28.798999999999999</v>
      </c>
      <c r="Q14">
        <v>16.742000000000001</v>
      </c>
      <c r="R14">
        <v>18.719000000000001</v>
      </c>
      <c r="S14">
        <v>1.804</v>
      </c>
      <c r="T14">
        <v>1.052</v>
      </c>
      <c r="U14">
        <v>5.1100000000000003</v>
      </c>
      <c r="V14">
        <v>2.4470000000000001</v>
      </c>
      <c r="W14">
        <v>14.573</v>
      </c>
      <c r="X14">
        <v>41.603999999999999</v>
      </c>
      <c r="Y14">
        <v>5.375</v>
      </c>
      <c r="Z14">
        <v>4.9160000000000004</v>
      </c>
      <c r="AA14">
        <v>28.103999999999999</v>
      </c>
      <c r="AB14">
        <v>2.35</v>
      </c>
      <c r="AC14">
        <v>15.897</v>
      </c>
      <c r="AD14">
        <v>64.873999999999995</v>
      </c>
      <c r="AE14">
        <v>1.5760000000000001</v>
      </c>
      <c r="AF14">
        <v>21.427</v>
      </c>
      <c r="AG14">
        <v>30.074999999999999</v>
      </c>
      <c r="AH14">
        <v>1.3979999999999999</v>
      </c>
    </row>
    <row r="15" spans="1:34" x14ac:dyDescent="0.25">
      <c r="A15" s="143">
        <v>44581</v>
      </c>
      <c r="B15">
        <v>15.491</v>
      </c>
      <c r="C15">
        <v>12.404</v>
      </c>
      <c r="D15">
        <v>3.9369999999999998</v>
      </c>
      <c r="E15">
        <v>17.135999999999999</v>
      </c>
      <c r="F15">
        <v>23.367999999999999</v>
      </c>
      <c r="G15">
        <v>3.3730000000000002</v>
      </c>
      <c r="H15">
        <v>3.26</v>
      </c>
      <c r="I15">
        <v>24.26</v>
      </c>
      <c r="J15">
        <v>29.135999999999999</v>
      </c>
      <c r="K15">
        <v>2.7490000000000001</v>
      </c>
      <c r="L15">
        <v>3.2229999999999999</v>
      </c>
      <c r="M15">
        <v>6.8179999999999996</v>
      </c>
      <c r="N15">
        <v>1.4930000000000001</v>
      </c>
      <c r="O15">
        <v>6.8220000000000001</v>
      </c>
      <c r="P15">
        <v>28.757999999999999</v>
      </c>
      <c r="Q15">
        <v>16.684999999999999</v>
      </c>
      <c r="R15">
        <v>18.731000000000002</v>
      </c>
      <c r="S15">
        <v>1.798</v>
      </c>
      <c r="T15">
        <v>1.0469999999999999</v>
      </c>
      <c r="U15">
        <v>5.109</v>
      </c>
      <c r="V15">
        <v>2.4359999999999999</v>
      </c>
      <c r="W15">
        <v>14.5</v>
      </c>
      <c r="X15">
        <v>41.627000000000002</v>
      </c>
      <c r="Y15">
        <v>5.3639999999999999</v>
      </c>
      <c r="Z15">
        <v>4.9059999999999997</v>
      </c>
      <c r="AA15">
        <v>27.92</v>
      </c>
      <c r="AB15">
        <v>2.339</v>
      </c>
      <c r="AC15">
        <v>15.898</v>
      </c>
      <c r="AD15">
        <v>65.018000000000001</v>
      </c>
      <c r="AE15">
        <v>1.595</v>
      </c>
      <c r="AF15">
        <v>21.399000000000001</v>
      </c>
      <c r="AG15">
        <v>30.006</v>
      </c>
      <c r="AH15">
        <v>1.4059999999999999</v>
      </c>
    </row>
    <row r="16" spans="1:34" x14ac:dyDescent="0.25">
      <c r="A16" s="143">
        <v>44582</v>
      </c>
      <c r="B16">
        <v>15.429</v>
      </c>
      <c r="C16">
        <v>12.446999999999999</v>
      </c>
      <c r="D16">
        <v>3.9220000000000002</v>
      </c>
      <c r="E16">
        <v>17.125</v>
      </c>
      <c r="F16">
        <v>23.515999999999998</v>
      </c>
      <c r="G16">
        <v>3.3849999999999998</v>
      </c>
      <c r="H16">
        <v>3.2709999999999999</v>
      </c>
      <c r="I16">
        <v>24.344999999999999</v>
      </c>
      <c r="J16">
        <v>29.106000000000002</v>
      </c>
      <c r="K16">
        <v>2.7549999999999999</v>
      </c>
      <c r="L16">
        <v>3.234</v>
      </c>
      <c r="M16">
        <v>6.7960000000000003</v>
      </c>
      <c r="N16">
        <v>1.496</v>
      </c>
      <c r="O16">
        <v>6.8250000000000002</v>
      </c>
      <c r="P16">
        <v>28.838000000000001</v>
      </c>
      <c r="Q16">
        <v>16.72</v>
      </c>
      <c r="R16">
        <v>18.852</v>
      </c>
      <c r="S16">
        <v>1.8009999999999999</v>
      </c>
      <c r="T16">
        <v>1.048</v>
      </c>
      <c r="U16">
        <v>5.1239999999999997</v>
      </c>
      <c r="V16">
        <v>2.4209999999999998</v>
      </c>
      <c r="W16">
        <v>14.417</v>
      </c>
      <c r="X16">
        <v>41.848999999999997</v>
      </c>
      <c r="Y16">
        <v>5.3710000000000004</v>
      </c>
      <c r="Z16">
        <v>4.923</v>
      </c>
      <c r="AA16">
        <v>28.027999999999999</v>
      </c>
      <c r="AB16">
        <v>2.3370000000000002</v>
      </c>
      <c r="AC16">
        <v>15.952</v>
      </c>
      <c r="AD16">
        <v>65.164000000000001</v>
      </c>
      <c r="AE16">
        <v>1.599</v>
      </c>
      <c r="AF16">
        <v>21.452000000000002</v>
      </c>
      <c r="AG16">
        <v>30.084</v>
      </c>
      <c r="AH16">
        <v>1.419</v>
      </c>
    </row>
    <row r="17" spans="1:34" x14ac:dyDescent="0.25">
      <c r="A17" s="143">
        <v>44585</v>
      </c>
      <c r="B17">
        <v>15.455</v>
      </c>
      <c r="C17">
        <v>12.539</v>
      </c>
      <c r="D17">
        <v>3.9609999999999999</v>
      </c>
      <c r="E17">
        <v>17.193000000000001</v>
      </c>
      <c r="F17">
        <v>23.786999999999999</v>
      </c>
      <c r="G17">
        <v>3.4279999999999999</v>
      </c>
      <c r="H17">
        <v>3.2949999999999999</v>
      </c>
      <c r="I17">
        <v>24.524999999999999</v>
      </c>
      <c r="J17">
        <v>29.260999999999999</v>
      </c>
      <c r="K17">
        <v>2.7869999999999999</v>
      </c>
      <c r="L17">
        <v>3.2570000000000001</v>
      </c>
      <c r="M17">
        <v>6.8150000000000004</v>
      </c>
      <c r="N17">
        <v>1.5129999999999999</v>
      </c>
      <c r="O17">
        <v>6.8410000000000002</v>
      </c>
      <c r="P17">
        <v>29.071999999999999</v>
      </c>
      <c r="Q17">
        <v>16.844000000000001</v>
      </c>
      <c r="R17">
        <v>19.067</v>
      </c>
      <c r="S17">
        <v>1.8120000000000001</v>
      </c>
      <c r="T17">
        <v>1.054</v>
      </c>
      <c r="U17">
        <v>5.1790000000000003</v>
      </c>
      <c r="V17">
        <v>2.4129999999999998</v>
      </c>
      <c r="W17">
        <v>14.507999999999999</v>
      </c>
      <c r="X17">
        <v>42.247999999999998</v>
      </c>
      <c r="Y17">
        <v>5.383</v>
      </c>
      <c r="Z17">
        <v>4.9589999999999996</v>
      </c>
      <c r="AA17">
        <v>27.652999999999999</v>
      </c>
      <c r="AB17">
        <v>2.335</v>
      </c>
      <c r="AC17">
        <v>16.117000000000001</v>
      </c>
      <c r="AD17">
        <v>65.61</v>
      </c>
      <c r="AE17">
        <v>1.6160000000000001</v>
      </c>
      <c r="AF17">
        <v>21.693999999999999</v>
      </c>
      <c r="AG17">
        <v>30.414999999999999</v>
      </c>
      <c r="AH17">
        <v>1.4219999999999999</v>
      </c>
    </row>
    <row r="18" spans="1:34" x14ac:dyDescent="0.25">
      <c r="A18" s="143">
        <v>44586</v>
      </c>
      <c r="B18">
        <v>15.49</v>
      </c>
      <c r="C18">
        <v>12.522</v>
      </c>
      <c r="D18">
        <v>3.9420000000000002</v>
      </c>
      <c r="E18">
        <v>17.193999999999999</v>
      </c>
      <c r="F18">
        <v>23.634</v>
      </c>
      <c r="G18">
        <v>3.4340000000000002</v>
      </c>
      <c r="H18">
        <v>3.2909999999999999</v>
      </c>
      <c r="I18">
        <v>24.495000000000001</v>
      </c>
      <c r="J18">
        <v>29.262</v>
      </c>
      <c r="K18">
        <v>2.7919999999999998</v>
      </c>
      <c r="L18">
        <v>3.254</v>
      </c>
      <c r="M18">
        <v>6.8129999999999997</v>
      </c>
      <c r="N18">
        <v>1.5149999999999999</v>
      </c>
      <c r="O18">
        <v>6.827</v>
      </c>
      <c r="P18">
        <v>29.061</v>
      </c>
      <c r="Q18">
        <v>16.777000000000001</v>
      </c>
      <c r="R18">
        <v>19.061</v>
      </c>
      <c r="S18">
        <v>1.8120000000000001</v>
      </c>
      <c r="T18">
        <v>1.052</v>
      </c>
      <c r="U18">
        <v>5.1879999999999997</v>
      </c>
      <c r="V18">
        <v>2.4159999999999999</v>
      </c>
      <c r="W18">
        <v>14.484999999999999</v>
      </c>
      <c r="X18">
        <v>42.41</v>
      </c>
      <c r="Y18">
        <v>5.3529999999999998</v>
      </c>
      <c r="Z18">
        <v>4.9530000000000003</v>
      </c>
      <c r="AA18">
        <v>27.6</v>
      </c>
      <c r="AB18">
        <v>2.3319999999999999</v>
      </c>
      <c r="AC18">
        <v>16.16</v>
      </c>
      <c r="AD18">
        <v>65.694000000000003</v>
      </c>
      <c r="AE18">
        <v>1.6060000000000001</v>
      </c>
      <c r="AF18">
        <v>21.736999999999998</v>
      </c>
      <c r="AG18">
        <v>30.451000000000001</v>
      </c>
      <c r="AH18">
        <v>1.419</v>
      </c>
    </row>
    <row r="19" spans="1:34" x14ac:dyDescent="0.25">
      <c r="A19" s="143">
        <v>44587</v>
      </c>
      <c r="B19">
        <v>15.595000000000001</v>
      </c>
      <c r="C19">
        <v>12.537000000000001</v>
      </c>
      <c r="D19">
        <v>4.016</v>
      </c>
      <c r="E19">
        <v>17.305</v>
      </c>
      <c r="F19">
        <v>23.613</v>
      </c>
      <c r="G19">
        <v>3.4420000000000002</v>
      </c>
      <c r="H19">
        <v>3.2949999999999999</v>
      </c>
      <c r="I19">
        <v>24.52</v>
      </c>
      <c r="J19">
        <v>29.382999999999999</v>
      </c>
      <c r="K19">
        <v>2.7930000000000001</v>
      </c>
      <c r="L19">
        <v>3.2570000000000001</v>
      </c>
      <c r="M19">
        <v>6.8170000000000002</v>
      </c>
      <c r="N19">
        <v>1.5149999999999999</v>
      </c>
      <c r="O19">
        <v>6.8369999999999997</v>
      </c>
      <c r="P19">
        <v>29.045999999999999</v>
      </c>
      <c r="Q19">
        <v>16.841000000000001</v>
      </c>
      <c r="R19">
        <v>19.024999999999999</v>
      </c>
      <c r="S19">
        <v>1.8169999999999999</v>
      </c>
      <c r="T19">
        <v>1.0580000000000001</v>
      </c>
      <c r="U19">
        <v>5.1879999999999997</v>
      </c>
      <c r="V19">
        <v>2.4489999999999998</v>
      </c>
      <c r="W19">
        <v>14.54</v>
      </c>
      <c r="X19">
        <v>42.485999999999997</v>
      </c>
      <c r="Y19">
        <v>5.3470000000000004</v>
      </c>
      <c r="Z19">
        <v>4.9580000000000002</v>
      </c>
      <c r="AA19">
        <v>27.488</v>
      </c>
      <c r="AB19">
        <v>2.3460000000000001</v>
      </c>
      <c r="AC19">
        <v>16.172999999999998</v>
      </c>
      <c r="AD19">
        <v>65.971999999999994</v>
      </c>
      <c r="AE19">
        <v>1.607</v>
      </c>
      <c r="AF19">
        <v>21.744</v>
      </c>
      <c r="AG19">
        <v>30.417999999999999</v>
      </c>
      <c r="AH19">
        <v>1.4350000000000001</v>
      </c>
    </row>
    <row r="20" spans="1:34" x14ac:dyDescent="0.25">
      <c r="A20" s="143">
        <v>44588</v>
      </c>
      <c r="B20">
        <v>15.492000000000001</v>
      </c>
      <c r="C20">
        <v>12.49</v>
      </c>
      <c r="D20">
        <v>4.0609999999999999</v>
      </c>
      <c r="E20">
        <v>17.25</v>
      </c>
      <c r="F20">
        <v>23.513000000000002</v>
      </c>
      <c r="G20">
        <v>3.4380000000000002</v>
      </c>
      <c r="H20">
        <v>3.282</v>
      </c>
      <c r="I20">
        <v>24.43</v>
      </c>
      <c r="J20">
        <v>29.303000000000001</v>
      </c>
      <c r="K20">
        <v>2.81</v>
      </c>
      <c r="L20">
        <v>3.2429999999999999</v>
      </c>
      <c r="M20">
        <v>6.8220000000000001</v>
      </c>
      <c r="N20">
        <v>1.522</v>
      </c>
      <c r="O20">
        <v>6.8460000000000001</v>
      </c>
      <c r="P20">
        <v>29.091000000000001</v>
      </c>
      <c r="Q20">
        <v>16.824999999999999</v>
      </c>
      <c r="R20">
        <v>18.977</v>
      </c>
      <c r="S20">
        <v>1.8169999999999999</v>
      </c>
      <c r="T20">
        <v>1.056</v>
      </c>
      <c r="U20">
        <v>5.2149999999999999</v>
      </c>
      <c r="V20">
        <v>2.4449999999999998</v>
      </c>
      <c r="W20">
        <v>14.48</v>
      </c>
      <c r="X20">
        <v>42.639000000000003</v>
      </c>
      <c r="Y20">
        <v>5.3579999999999997</v>
      </c>
      <c r="Z20">
        <v>4.9390000000000001</v>
      </c>
      <c r="AA20">
        <v>28.036999999999999</v>
      </c>
      <c r="AB20">
        <v>2.339</v>
      </c>
      <c r="AC20">
        <v>16.190000000000001</v>
      </c>
      <c r="AD20">
        <v>65.802000000000007</v>
      </c>
      <c r="AE20">
        <v>1.6080000000000001</v>
      </c>
      <c r="AF20">
        <v>21.890999999999998</v>
      </c>
      <c r="AG20">
        <v>30.640999999999998</v>
      </c>
      <c r="AH20">
        <v>1.4279999999999999</v>
      </c>
    </row>
    <row r="21" spans="1:34" x14ac:dyDescent="0.25">
      <c r="A21" s="143">
        <v>44589</v>
      </c>
      <c r="B21">
        <v>15.301</v>
      </c>
      <c r="C21">
        <v>12.493</v>
      </c>
      <c r="D21">
        <v>4.0650000000000004</v>
      </c>
      <c r="E21">
        <v>17.164000000000001</v>
      </c>
      <c r="F21">
        <v>23.545000000000002</v>
      </c>
      <c r="G21">
        <v>3.4510000000000001</v>
      </c>
      <c r="H21">
        <v>3.2829999999999999</v>
      </c>
      <c r="I21">
        <v>24.434999999999999</v>
      </c>
      <c r="J21">
        <v>29.376999999999999</v>
      </c>
      <c r="K21">
        <v>2.8149999999999999</v>
      </c>
      <c r="L21">
        <v>3.2450000000000001</v>
      </c>
      <c r="M21">
        <v>6.8150000000000004</v>
      </c>
      <c r="N21">
        <v>1.5249999999999999</v>
      </c>
      <c r="O21">
        <v>6.8449999999999998</v>
      </c>
      <c r="P21">
        <v>29.23</v>
      </c>
      <c r="Q21">
        <v>16.969000000000001</v>
      </c>
      <c r="R21">
        <v>18.989999999999998</v>
      </c>
      <c r="S21">
        <v>1.8109999999999999</v>
      </c>
      <c r="T21">
        <v>1.054</v>
      </c>
      <c r="U21">
        <v>5.2359999999999998</v>
      </c>
      <c r="V21">
        <v>2.4380000000000002</v>
      </c>
      <c r="W21">
        <v>14.349</v>
      </c>
      <c r="X21">
        <v>42.850999999999999</v>
      </c>
      <c r="Y21">
        <v>5.3410000000000002</v>
      </c>
      <c r="Z21">
        <v>4.9400000000000004</v>
      </c>
      <c r="AA21">
        <v>28.213000000000001</v>
      </c>
      <c r="AB21">
        <v>2.3159999999999998</v>
      </c>
      <c r="AC21">
        <v>16.175000000000001</v>
      </c>
      <c r="AD21">
        <v>65.647000000000006</v>
      </c>
      <c r="AE21">
        <v>1.6140000000000001</v>
      </c>
      <c r="AF21">
        <v>21.94</v>
      </c>
      <c r="AG21">
        <v>30.542000000000002</v>
      </c>
      <c r="AH21">
        <v>1.4059999999999999</v>
      </c>
    </row>
    <row r="22" spans="1:34" x14ac:dyDescent="0.25">
      <c r="A22" s="143">
        <v>44592</v>
      </c>
      <c r="B22">
        <v>15.403</v>
      </c>
      <c r="C22">
        <v>12.458</v>
      </c>
      <c r="D22">
        <v>4.0609999999999999</v>
      </c>
      <c r="E22">
        <v>17.12</v>
      </c>
      <c r="F22">
        <v>23.42</v>
      </c>
      <c r="G22">
        <v>3.4340000000000002</v>
      </c>
      <c r="H22">
        <v>3.274</v>
      </c>
      <c r="I22">
        <v>24.364999999999998</v>
      </c>
      <c r="J22">
        <v>29.302</v>
      </c>
      <c r="K22">
        <v>2.8010000000000002</v>
      </c>
      <c r="L22">
        <v>3.2360000000000002</v>
      </c>
      <c r="M22">
        <v>6.8220000000000001</v>
      </c>
      <c r="N22">
        <v>1.5189999999999999</v>
      </c>
      <c r="O22">
        <v>6.8360000000000003</v>
      </c>
      <c r="P22">
        <v>29.225000000000001</v>
      </c>
      <c r="Q22">
        <v>17.015000000000001</v>
      </c>
      <c r="R22">
        <v>18.920000000000002</v>
      </c>
      <c r="S22">
        <v>1.806</v>
      </c>
      <c r="T22">
        <v>1.0509999999999999</v>
      </c>
      <c r="U22">
        <v>5.218</v>
      </c>
      <c r="V22">
        <v>2.4350000000000001</v>
      </c>
      <c r="W22">
        <v>14.349</v>
      </c>
      <c r="X22">
        <v>42.756999999999998</v>
      </c>
      <c r="Y22">
        <v>5.3090000000000002</v>
      </c>
      <c r="Z22">
        <v>4.9249999999999998</v>
      </c>
      <c r="AA22">
        <v>28.094000000000001</v>
      </c>
      <c r="AB22">
        <v>2.3239999999999998</v>
      </c>
      <c r="AC22">
        <v>16.125</v>
      </c>
      <c r="AD22">
        <v>65.605000000000004</v>
      </c>
      <c r="AE22">
        <v>1.631</v>
      </c>
      <c r="AF22">
        <v>21.84</v>
      </c>
      <c r="AG22">
        <v>30.373999999999999</v>
      </c>
      <c r="AH22">
        <v>1.4019999999999999</v>
      </c>
    </row>
    <row r="23" spans="1:34" x14ac:dyDescent="0.25">
      <c r="A23" s="143">
        <v>44593</v>
      </c>
      <c r="B23">
        <v>15.337999999999999</v>
      </c>
      <c r="C23">
        <v>12.442</v>
      </c>
      <c r="D23">
        <v>4.085</v>
      </c>
      <c r="E23">
        <v>17.021999999999998</v>
      </c>
      <c r="F23">
        <v>23.459</v>
      </c>
      <c r="G23">
        <v>3.3980000000000001</v>
      </c>
      <c r="H23">
        <v>3.2709999999999999</v>
      </c>
      <c r="I23">
        <v>24.335000000000001</v>
      </c>
      <c r="J23">
        <v>29.146000000000001</v>
      </c>
      <c r="K23">
        <v>2.7730000000000001</v>
      </c>
      <c r="L23">
        <v>3.2330000000000001</v>
      </c>
      <c r="M23">
        <v>6.8280000000000003</v>
      </c>
      <c r="N23">
        <v>1.5029999999999999</v>
      </c>
      <c r="O23">
        <v>6.8250000000000002</v>
      </c>
      <c r="P23">
        <v>28.905999999999999</v>
      </c>
      <c r="Q23">
        <v>16.922999999999998</v>
      </c>
      <c r="R23">
        <v>18.850000000000001</v>
      </c>
      <c r="S23">
        <v>1.798</v>
      </c>
      <c r="T23">
        <v>1.052</v>
      </c>
      <c r="U23">
        <v>5.1639999999999997</v>
      </c>
      <c r="V23">
        <v>2.4420000000000002</v>
      </c>
      <c r="W23">
        <v>14.291</v>
      </c>
      <c r="X23">
        <v>42.316000000000003</v>
      </c>
      <c r="Y23">
        <v>5.3129999999999997</v>
      </c>
      <c r="Z23">
        <v>4.92</v>
      </c>
      <c r="AA23">
        <v>28.201000000000001</v>
      </c>
      <c r="AB23">
        <v>2.33</v>
      </c>
      <c r="AC23">
        <v>16.012</v>
      </c>
      <c r="AD23">
        <v>65.108000000000004</v>
      </c>
      <c r="AE23">
        <v>1.6160000000000001</v>
      </c>
      <c r="AF23">
        <v>21.614999999999998</v>
      </c>
      <c r="AG23">
        <v>30.082999999999998</v>
      </c>
      <c r="AH23">
        <v>1.4179999999999999</v>
      </c>
    </row>
    <row r="24" spans="1:34" x14ac:dyDescent="0.25">
      <c r="A24" s="143">
        <v>44594</v>
      </c>
      <c r="B24">
        <v>15.355</v>
      </c>
      <c r="C24">
        <v>12.423</v>
      </c>
      <c r="D24">
        <v>4.0750000000000002</v>
      </c>
      <c r="E24">
        <v>16.952999999999999</v>
      </c>
      <c r="F24">
        <v>23.358000000000001</v>
      </c>
      <c r="G24">
        <v>3.3719999999999999</v>
      </c>
      <c r="H24">
        <v>3.2669999999999999</v>
      </c>
      <c r="I24">
        <v>24.3</v>
      </c>
      <c r="J24">
        <v>29.138000000000002</v>
      </c>
      <c r="K24">
        <v>2.7519999999999998</v>
      </c>
      <c r="L24">
        <v>3.2290000000000001</v>
      </c>
      <c r="M24">
        <v>6.8559999999999999</v>
      </c>
      <c r="N24">
        <v>1.494</v>
      </c>
      <c r="O24">
        <v>6.7889999999999997</v>
      </c>
      <c r="P24">
        <v>28.704999999999998</v>
      </c>
      <c r="Q24">
        <v>16.969000000000001</v>
      </c>
      <c r="R24">
        <v>18.786000000000001</v>
      </c>
      <c r="S24">
        <v>1.7869999999999999</v>
      </c>
      <c r="T24">
        <v>1.046</v>
      </c>
      <c r="U24">
        <v>5.125</v>
      </c>
      <c r="V24">
        <v>2.4489999999999998</v>
      </c>
      <c r="W24">
        <v>14.285</v>
      </c>
      <c r="X24">
        <v>42.03</v>
      </c>
      <c r="Y24">
        <v>5.3470000000000004</v>
      </c>
      <c r="Z24">
        <v>4.9130000000000003</v>
      </c>
      <c r="AA24">
        <v>28.311</v>
      </c>
      <c r="AB24">
        <v>2.339</v>
      </c>
      <c r="AC24">
        <v>15.923999999999999</v>
      </c>
      <c r="AD24">
        <v>64.653000000000006</v>
      </c>
      <c r="AE24">
        <v>1.5880000000000001</v>
      </c>
      <c r="AF24">
        <v>21.449000000000002</v>
      </c>
      <c r="AG24">
        <v>29.984999999999999</v>
      </c>
      <c r="AH24">
        <v>1.401</v>
      </c>
    </row>
    <row r="25" spans="1:34" x14ac:dyDescent="0.25">
      <c r="A25" s="143">
        <v>44595</v>
      </c>
      <c r="B25">
        <v>15.24</v>
      </c>
      <c r="C25">
        <v>12.348000000000001</v>
      </c>
      <c r="D25">
        <v>4.0369999999999999</v>
      </c>
      <c r="E25">
        <v>16.849</v>
      </c>
      <c r="F25">
        <v>23.202000000000002</v>
      </c>
      <c r="G25">
        <v>3.3650000000000002</v>
      </c>
      <c r="H25">
        <v>3.246</v>
      </c>
      <c r="I25">
        <v>24.15</v>
      </c>
      <c r="J25">
        <v>29.024999999999999</v>
      </c>
      <c r="K25">
        <v>2.746</v>
      </c>
      <c r="L25">
        <v>3.2069999999999999</v>
      </c>
      <c r="M25">
        <v>6.8289999999999997</v>
      </c>
      <c r="N25">
        <v>1.4890000000000001</v>
      </c>
      <c r="O25">
        <v>6.7190000000000003</v>
      </c>
      <c r="P25">
        <v>28.579000000000001</v>
      </c>
      <c r="Q25">
        <v>16.959</v>
      </c>
      <c r="R25">
        <v>18.632000000000001</v>
      </c>
      <c r="S25">
        <v>1.778</v>
      </c>
      <c r="T25">
        <v>1.0389999999999999</v>
      </c>
      <c r="U25">
        <v>5.1159999999999997</v>
      </c>
      <c r="V25">
        <v>2.4260000000000002</v>
      </c>
      <c r="W25">
        <v>14.209</v>
      </c>
      <c r="X25">
        <v>41.929000000000002</v>
      </c>
      <c r="Y25">
        <v>5.33</v>
      </c>
      <c r="Z25">
        <v>4.883</v>
      </c>
      <c r="AA25">
        <v>28.018999999999998</v>
      </c>
      <c r="AB25">
        <v>2.3250000000000002</v>
      </c>
      <c r="AC25">
        <v>15.877000000000001</v>
      </c>
      <c r="AD25">
        <v>64.542000000000002</v>
      </c>
      <c r="AE25">
        <v>1.5780000000000001</v>
      </c>
      <c r="AF25">
        <v>21.402000000000001</v>
      </c>
      <c r="AG25">
        <v>29.978000000000002</v>
      </c>
      <c r="AH25">
        <v>1.397</v>
      </c>
    </row>
    <row r="26" spans="1:34" x14ac:dyDescent="0.25">
      <c r="A26" s="143">
        <v>44596</v>
      </c>
      <c r="B26">
        <v>15.07</v>
      </c>
      <c r="C26">
        <v>12.456</v>
      </c>
      <c r="D26">
        <v>4.0039999999999996</v>
      </c>
      <c r="E26">
        <v>16.704999999999998</v>
      </c>
      <c r="F26">
        <v>23.053999999999998</v>
      </c>
      <c r="G26">
        <v>3.3410000000000002</v>
      </c>
      <c r="H26">
        <v>3.2730000000000001</v>
      </c>
      <c r="I26">
        <v>24.36</v>
      </c>
      <c r="J26">
        <v>28.798999999999999</v>
      </c>
      <c r="K26">
        <v>2.7290000000000001</v>
      </c>
      <c r="L26">
        <v>3.2360000000000002</v>
      </c>
      <c r="M26">
        <v>6.9029999999999996</v>
      </c>
      <c r="N26">
        <v>1.478</v>
      </c>
      <c r="O26">
        <v>6.6319999999999997</v>
      </c>
      <c r="P26">
        <v>28.443999999999999</v>
      </c>
      <c r="Q26">
        <v>17.059000000000001</v>
      </c>
      <c r="R26">
        <v>18.494</v>
      </c>
      <c r="S26">
        <v>1.7729999999999999</v>
      </c>
      <c r="T26">
        <v>1.0329999999999999</v>
      </c>
      <c r="U26">
        <v>5.085</v>
      </c>
      <c r="V26">
        <v>2.4239999999999999</v>
      </c>
      <c r="W26">
        <v>14.093999999999999</v>
      </c>
      <c r="X26">
        <v>41.465000000000003</v>
      </c>
      <c r="Y26">
        <v>5.3570000000000002</v>
      </c>
      <c r="Z26">
        <v>4.9249999999999998</v>
      </c>
      <c r="AA26">
        <v>27.9</v>
      </c>
      <c r="AB26">
        <v>2.331</v>
      </c>
      <c r="AC26">
        <v>15.801</v>
      </c>
      <c r="AD26">
        <v>64.447000000000003</v>
      </c>
      <c r="AE26">
        <v>1.571</v>
      </c>
      <c r="AF26">
        <v>21.251000000000001</v>
      </c>
      <c r="AG26">
        <v>29.734000000000002</v>
      </c>
      <c r="AH26">
        <v>1.385</v>
      </c>
    </row>
    <row r="27" spans="1:34" x14ac:dyDescent="0.25">
      <c r="A27" s="143">
        <v>44599</v>
      </c>
      <c r="B27">
        <v>15.06</v>
      </c>
      <c r="C27">
        <v>12.393000000000001</v>
      </c>
      <c r="D27">
        <v>4.0060000000000002</v>
      </c>
      <c r="E27">
        <v>16.667999999999999</v>
      </c>
      <c r="F27">
        <v>22.934999999999999</v>
      </c>
      <c r="G27">
        <v>3.3319999999999999</v>
      </c>
      <c r="H27">
        <v>3.2559999999999998</v>
      </c>
      <c r="I27">
        <v>24.24</v>
      </c>
      <c r="J27">
        <v>28.631</v>
      </c>
      <c r="K27">
        <v>2.718</v>
      </c>
      <c r="L27">
        <v>3.2229999999999999</v>
      </c>
      <c r="M27">
        <v>6.8579999999999997</v>
      </c>
      <c r="N27">
        <v>1.4710000000000001</v>
      </c>
      <c r="O27">
        <v>6.6310000000000002</v>
      </c>
      <c r="P27">
        <v>28.350999999999999</v>
      </c>
      <c r="Q27">
        <v>16.904</v>
      </c>
      <c r="R27">
        <v>18.422999999999998</v>
      </c>
      <c r="S27">
        <v>1.7669999999999999</v>
      </c>
      <c r="T27">
        <v>1.028</v>
      </c>
      <c r="U27">
        <v>5.0609999999999999</v>
      </c>
      <c r="V27">
        <v>2.4079999999999999</v>
      </c>
      <c r="W27">
        <v>14.028</v>
      </c>
      <c r="X27">
        <v>41.104999999999997</v>
      </c>
      <c r="Y27">
        <v>5.3339999999999996</v>
      </c>
      <c r="Z27">
        <v>4.9000000000000004</v>
      </c>
      <c r="AA27">
        <v>28.009</v>
      </c>
      <c r="AB27">
        <v>2.3199999999999998</v>
      </c>
      <c r="AC27">
        <v>15.754</v>
      </c>
      <c r="AD27">
        <v>64.244</v>
      </c>
      <c r="AE27">
        <v>1.5620000000000001</v>
      </c>
      <c r="AF27">
        <v>21.18</v>
      </c>
      <c r="AG27">
        <v>29.792000000000002</v>
      </c>
      <c r="AH27">
        <v>1.37</v>
      </c>
    </row>
    <row r="28" spans="1:34" x14ac:dyDescent="0.25">
      <c r="A28" s="143">
        <v>44600</v>
      </c>
      <c r="B28">
        <v>15.137</v>
      </c>
      <c r="C28">
        <v>12.404999999999999</v>
      </c>
      <c r="D28">
        <v>4.0289999999999999</v>
      </c>
      <c r="E28">
        <v>16.725999999999999</v>
      </c>
      <c r="F28">
        <v>23.007000000000001</v>
      </c>
      <c r="G28">
        <v>3.3410000000000002</v>
      </c>
      <c r="H28">
        <v>3.2589999999999999</v>
      </c>
      <c r="I28">
        <v>24.26</v>
      </c>
      <c r="J28">
        <v>28.753</v>
      </c>
      <c r="K28">
        <v>2.7280000000000002</v>
      </c>
      <c r="L28">
        <v>3.2250000000000001</v>
      </c>
      <c r="M28">
        <v>6.8710000000000004</v>
      </c>
      <c r="N28">
        <v>1.478</v>
      </c>
      <c r="O28">
        <v>6.601</v>
      </c>
      <c r="P28">
        <v>28.457000000000001</v>
      </c>
      <c r="Q28">
        <v>17.036999999999999</v>
      </c>
      <c r="R28">
        <v>18.425999999999998</v>
      </c>
      <c r="S28">
        <v>1.774</v>
      </c>
      <c r="T28">
        <v>1.0289999999999999</v>
      </c>
      <c r="U28">
        <v>5.0819999999999999</v>
      </c>
      <c r="V28">
        <v>2.407</v>
      </c>
      <c r="W28">
        <v>14.106</v>
      </c>
      <c r="X28">
        <v>41.323999999999998</v>
      </c>
      <c r="Y28">
        <v>5.3540000000000001</v>
      </c>
      <c r="Z28">
        <v>4.9059999999999997</v>
      </c>
      <c r="AA28">
        <v>28.286000000000001</v>
      </c>
      <c r="AB28">
        <v>2.323</v>
      </c>
      <c r="AC28">
        <v>15.805999999999999</v>
      </c>
      <c r="AD28">
        <v>64.506</v>
      </c>
      <c r="AE28">
        <v>1.56</v>
      </c>
      <c r="AF28">
        <v>21.268000000000001</v>
      </c>
      <c r="AG28">
        <v>29.873000000000001</v>
      </c>
      <c r="AH28">
        <v>1.3759999999999999</v>
      </c>
    </row>
    <row r="29" spans="1:34" x14ac:dyDescent="0.25">
      <c r="A29" s="143">
        <v>44601</v>
      </c>
      <c r="B29">
        <v>15.246</v>
      </c>
      <c r="C29">
        <v>12.419</v>
      </c>
      <c r="D29">
        <v>4.0359999999999996</v>
      </c>
      <c r="E29">
        <v>16.734000000000002</v>
      </c>
      <c r="F29">
        <v>23.012</v>
      </c>
      <c r="G29">
        <v>3.339</v>
      </c>
      <c r="H29">
        <v>3.2629999999999999</v>
      </c>
      <c r="I29">
        <v>24.29</v>
      </c>
      <c r="J29">
        <v>28.818000000000001</v>
      </c>
      <c r="K29">
        <v>2.726</v>
      </c>
      <c r="L29">
        <v>3.226</v>
      </c>
      <c r="M29">
        <v>6.8819999999999997</v>
      </c>
      <c r="N29">
        <v>1.48</v>
      </c>
      <c r="O29">
        <v>6.5970000000000004</v>
      </c>
      <c r="P29">
        <v>28.388999999999999</v>
      </c>
      <c r="Q29">
        <v>17.082000000000001</v>
      </c>
      <c r="R29">
        <v>18.398</v>
      </c>
      <c r="S29">
        <v>1.7789999999999999</v>
      </c>
      <c r="T29">
        <v>1.034</v>
      </c>
      <c r="U29">
        <v>5.077</v>
      </c>
      <c r="V29">
        <v>2.415</v>
      </c>
      <c r="W29">
        <v>14.198</v>
      </c>
      <c r="X29">
        <v>41.454000000000001</v>
      </c>
      <c r="Y29">
        <v>5.3819999999999997</v>
      </c>
      <c r="Z29">
        <v>4.9109999999999996</v>
      </c>
      <c r="AA29">
        <v>28.402999999999999</v>
      </c>
      <c r="AB29">
        <v>2.3340000000000001</v>
      </c>
      <c r="AC29">
        <v>15.827</v>
      </c>
      <c r="AD29">
        <v>64.947999999999993</v>
      </c>
      <c r="AE29">
        <v>1.5620000000000001</v>
      </c>
      <c r="AF29">
        <v>21.245999999999999</v>
      </c>
      <c r="AG29">
        <v>29.821000000000002</v>
      </c>
      <c r="AH29">
        <v>1.3859999999999999</v>
      </c>
    </row>
    <row r="30" spans="1:34" x14ac:dyDescent="0.25">
      <c r="A30" s="143">
        <v>44602</v>
      </c>
      <c r="B30">
        <v>15.319000000000001</v>
      </c>
      <c r="C30">
        <v>12.449</v>
      </c>
      <c r="D30">
        <v>4.0810000000000004</v>
      </c>
      <c r="E30">
        <v>16.794</v>
      </c>
      <c r="F30">
        <v>23.033999999999999</v>
      </c>
      <c r="G30">
        <v>3.35</v>
      </c>
      <c r="H30">
        <v>3.2730000000000001</v>
      </c>
      <c r="I30">
        <v>24.35</v>
      </c>
      <c r="J30">
        <v>28.902999999999999</v>
      </c>
      <c r="K30">
        <v>2.7309999999999999</v>
      </c>
      <c r="L30">
        <v>3.234</v>
      </c>
      <c r="M30">
        <v>6.8780000000000001</v>
      </c>
      <c r="N30">
        <v>1.484</v>
      </c>
      <c r="O30">
        <v>6.617</v>
      </c>
      <c r="P30">
        <v>28.335000000000001</v>
      </c>
      <c r="Q30">
        <v>17.172000000000001</v>
      </c>
      <c r="R30">
        <v>18.388999999999999</v>
      </c>
      <c r="S30">
        <v>1.7809999999999999</v>
      </c>
      <c r="T30">
        <v>1.042</v>
      </c>
      <c r="U30">
        <v>5.0880000000000001</v>
      </c>
      <c r="V30">
        <v>2.4180000000000001</v>
      </c>
      <c r="W30">
        <v>14.259</v>
      </c>
      <c r="X30">
        <v>41.563000000000002</v>
      </c>
      <c r="Y30">
        <v>5.42</v>
      </c>
      <c r="Z30">
        <v>4.9240000000000004</v>
      </c>
      <c r="AA30">
        <v>28.640999999999998</v>
      </c>
      <c r="AB30">
        <v>2.3130000000000002</v>
      </c>
      <c r="AC30">
        <v>15.867000000000001</v>
      </c>
      <c r="AD30">
        <v>65.216999999999999</v>
      </c>
      <c r="AE30">
        <v>1.573</v>
      </c>
      <c r="AF30">
        <v>21.286000000000001</v>
      </c>
      <c r="AG30">
        <v>29.885999999999999</v>
      </c>
      <c r="AH30">
        <v>1.407</v>
      </c>
    </row>
    <row r="31" spans="1:34" x14ac:dyDescent="0.25">
      <c r="A31" s="143">
        <v>44603</v>
      </c>
      <c r="B31">
        <v>15.324999999999999</v>
      </c>
      <c r="C31">
        <v>12.477</v>
      </c>
      <c r="D31">
        <v>4.12</v>
      </c>
      <c r="E31">
        <v>16.834</v>
      </c>
      <c r="F31">
        <v>23.116</v>
      </c>
      <c r="G31">
        <v>3.3639999999999999</v>
      </c>
      <c r="H31">
        <v>3.28</v>
      </c>
      <c r="I31">
        <v>24.405000000000001</v>
      </c>
      <c r="J31">
        <v>29.068000000000001</v>
      </c>
      <c r="K31">
        <v>2.7410000000000001</v>
      </c>
      <c r="L31">
        <v>3.2410000000000001</v>
      </c>
      <c r="M31">
        <v>6.907</v>
      </c>
      <c r="N31">
        <v>1.49</v>
      </c>
      <c r="O31">
        <v>6.6040000000000001</v>
      </c>
      <c r="P31">
        <v>28.428999999999998</v>
      </c>
      <c r="Q31">
        <v>17.210999999999999</v>
      </c>
      <c r="R31">
        <v>18.454000000000001</v>
      </c>
      <c r="S31">
        <v>1.79</v>
      </c>
      <c r="T31">
        <v>1.0469999999999999</v>
      </c>
      <c r="U31">
        <v>5.1029999999999998</v>
      </c>
      <c r="V31">
        <v>2.4220000000000002</v>
      </c>
      <c r="W31">
        <v>14.285</v>
      </c>
      <c r="X31">
        <v>41.734000000000002</v>
      </c>
      <c r="Y31">
        <v>5.3970000000000002</v>
      </c>
      <c r="Z31">
        <v>4.9349999999999996</v>
      </c>
      <c r="AA31">
        <v>28.411999999999999</v>
      </c>
      <c r="AB31">
        <v>2.3130000000000002</v>
      </c>
      <c r="AC31">
        <v>15.911</v>
      </c>
      <c r="AD31">
        <v>65.459000000000003</v>
      </c>
      <c r="AE31">
        <v>1.585</v>
      </c>
      <c r="AF31">
        <v>21.378</v>
      </c>
      <c r="AG31">
        <v>30.013000000000002</v>
      </c>
      <c r="AH31">
        <v>1.4119999999999999</v>
      </c>
    </row>
    <row r="32" spans="1:34" x14ac:dyDescent="0.25">
      <c r="A32" s="143">
        <v>44606</v>
      </c>
      <c r="B32">
        <v>15.428000000000001</v>
      </c>
      <c r="C32">
        <v>12.542999999999999</v>
      </c>
      <c r="D32">
        <v>4.1609999999999996</v>
      </c>
      <c r="E32">
        <v>16.998999999999999</v>
      </c>
      <c r="F32">
        <v>23.427</v>
      </c>
      <c r="G32">
        <v>3.4119999999999999</v>
      </c>
      <c r="H32">
        <v>3.2970000000000002</v>
      </c>
      <c r="I32">
        <v>24.535</v>
      </c>
      <c r="J32">
        <v>29.305</v>
      </c>
      <c r="K32">
        <v>2.778</v>
      </c>
      <c r="L32">
        <v>3.2589999999999999</v>
      </c>
      <c r="M32">
        <v>6.867</v>
      </c>
      <c r="N32">
        <v>1.5129999999999999</v>
      </c>
      <c r="O32">
        <v>6.6580000000000004</v>
      </c>
      <c r="P32">
        <v>28.698</v>
      </c>
      <c r="Q32">
        <v>17.204999999999998</v>
      </c>
      <c r="R32">
        <v>18.780999999999999</v>
      </c>
      <c r="S32">
        <v>1.8109999999999999</v>
      </c>
      <c r="T32">
        <v>1.06</v>
      </c>
      <c r="U32">
        <v>5.173</v>
      </c>
      <c r="V32">
        <v>2.4380000000000002</v>
      </c>
      <c r="W32">
        <v>14.334</v>
      </c>
      <c r="X32">
        <v>42.207000000000001</v>
      </c>
      <c r="Y32">
        <v>5.4039999999999999</v>
      </c>
      <c r="Z32">
        <v>4.96</v>
      </c>
      <c r="AA32">
        <v>28.425000000000001</v>
      </c>
      <c r="AB32">
        <v>2.3119999999999998</v>
      </c>
      <c r="AC32">
        <v>16.088999999999999</v>
      </c>
      <c r="AD32">
        <v>66.715999999999994</v>
      </c>
      <c r="AE32">
        <v>1.5980000000000001</v>
      </c>
      <c r="AF32">
        <v>21.675999999999998</v>
      </c>
      <c r="AG32">
        <v>30.396000000000001</v>
      </c>
      <c r="AH32">
        <v>1.431</v>
      </c>
    </row>
    <row r="33" spans="1:34" x14ac:dyDescent="0.25">
      <c r="A33" s="143">
        <v>44607</v>
      </c>
      <c r="B33">
        <v>15.37</v>
      </c>
      <c r="C33">
        <v>12.484999999999999</v>
      </c>
      <c r="D33">
        <v>4.141</v>
      </c>
      <c r="E33">
        <v>16.920000000000002</v>
      </c>
      <c r="F33">
        <v>23.294</v>
      </c>
      <c r="G33">
        <v>3.3940000000000001</v>
      </c>
      <c r="H33">
        <v>3.2810000000000001</v>
      </c>
      <c r="I33">
        <v>24.42</v>
      </c>
      <c r="J33">
        <v>29.152999999999999</v>
      </c>
      <c r="K33">
        <v>2.7589999999999999</v>
      </c>
      <c r="L33">
        <v>3.2429999999999999</v>
      </c>
      <c r="M33">
        <v>6.8730000000000002</v>
      </c>
      <c r="N33">
        <v>1.5049999999999999</v>
      </c>
      <c r="O33">
        <v>6.673</v>
      </c>
      <c r="P33">
        <v>28.582000000000001</v>
      </c>
      <c r="Q33">
        <v>17.295000000000002</v>
      </c>
      <c r="R33">
        <v>18.614999999999998</v>
      </c>
      <c r="S33">
        <v>1.7989999999999999</v>
      </c>
      <c r="T33">
        <v>1.056</v>
      </c>
      <c r="U33">
        <v>5.1420000000000003</v>
      </c>
      <c r="V33">
        <v>2.42</v>
      </c>
      <c r="W33">
        <v>14.246</v>
      </c>
      <c r="X33">
        <v>42.003999999999998</v>
      </c>
      <c r="Y33">
        <v>5.4210000000000003</v>
      </c>
      <c r="Z33">
        <v>4.9420000000000002</v>
      </c>
      <c r="AA33">
        <v>28.556999999999999</v>
      </c>
      <c r="AB33">
        <v>2.3090000000000002</v>
      </c>
      <c r="AC33">
        <v>16</v>
      </c>
      <c r="AD33">
        <v>66.563999999999993</v>
      </c>
      <c r="AE33">
        <v>1.579</v>
      </c>
      <c r="AF33">
        <v>21.527000000000001</v>
      </c>
      <c r="AG33">
        <v>30.122</v>
      </c>
      <c r="AH33">
        <v>1.4219999999999999</v>
      </c>
    </row>
    <row r="34" spans="1:34" x14ac:dyDescent="0.25">
      <c r="A34" s="143">
        <v>44608</v>
      </c>
      <c r="B34">
        <v>15.362</v>
      </c>
      <c r="C34">
        <v>12.456</v>
      </c>
      <c r="D34">
        <v>4.1459999999999999</v>
      </c>
      <c r="E34">
        <v>16.901</v>
      </c>
      <c r="F34">
        <v>23.167999999999999</v>
      </c>
      <c r="G34">
        <v>3.38</v>
      </c>
      <c r="H34">
        <v>3.274</v>
      </c>
      <c r="I34">
        <v>24.364999999999998</v>
      </c>
      <c r="J34">
        <v>29.021999999999998</v>
      </c>
      <c r="K34">
        <v>2.7469999999999999</v>
      </c>
      <c r="L34">
        <v>3.2360000000000002</v>
      </c>
      <c r="M34">
        <v>6.851</v>
      </c>
      <c r="N34">
        <v>1.5029999999999999</v>
      </c>
      <c r="O34">
        <v>6.7210000000000001</v>
      </c>
      <c r="P34">
        <v>28.536000000000001</v>
      </c>
      <c r="Q34">
        <v>17.231000000000002</v>
      </c>
      <c r="R34">
        <v>18.515999999999998</v>
      </c>
      <c r="S34">
        <v>1.79</v>
      </c>
      <c r="T34">
        <v>1.0509999999999999</v>
      </c>
      <c r="U34">
        <v>5.1189999999999998</v>
      </c>
      <c r="V34">
        <v>2.41</v>
      </c>
      <c r="W34">
        <v>14.241</v>
      </c>
      <c r="X34">
        <v>41.759</v>
      </c>
      <c r="Y34">
        <v>5.4189999999999996</v>
      </c>
      <c r="Z34">
        <v>4.9279999999999999</v>
      </c>
      <c r="AA34">
        <v>28.536999999999999</v>
      </c>
      <c r="AB34">
        <v>2.3130000000000002</v>
      </c>
      <c r="AC34">
        <v>15.933999999999999</v>
      </c>
      <c r="AD34">
        <v>66.263000000000005</v>
      </c>
      <c r="AE34">
        <v>1.575</v>
      </c>
      <c r="AF34">
        <v>21.425000000000001</v>
      </c>
      <c r="AG34">
        <v>30.013999999999999</v>
      </c>
      <c r="AH34">
        <v>1.415</v>
      </c>
    </row>
    <row r="35" spans="1:34" x14ac:dyDescent="0.25">
      <c r="A35" s="143">
        <v>44609</v>
      </c>
      <c r="B35">
        <v>15.442</v>
      </c>
      <c r="C35">
        <v>12.465</v>
      </c>
      <c r="D35">
        <v>4.1680000000000001</v>
      </c>
      <c r="E35">
        <v>16.881</v>
      </c>
      <c r="F35">
        <v>23.294</v>
      </c>
      <c r="G35">
        <v>3.3839999999999999</v>
      </c>
      <c r="H35">
        <v>3.2770000000000001</v>
      </c>
      <c r="I35">
        <v>24.38</v>
      </c>
      <c r="J35">
        <v>29.202000000000002</v>
      </c>
      <c r="K35">
        <v>2.7490000000000001</v>
      </c>
      <c r="L35">
        <v>3.2360000000000002</v>
      </c>
      <c r="M35">
        <v>6.8470000000000004</v>
      </c>
      <c r="N35">
        <v>1.498</v>
      </c>
      <c r="O35">
        <v>6.7290000000000001</v>
      </c>
      <c r="P35">
        <v>28.585999999999999</v>
      </c>
      <c r="Q35">
        <v>17.218</v>
      </c>
      <c r="R35">
        <v>18.635999999999999</v>
      </c>
      <c r="S35">
        <v>1.792</v>
      </c>
      <c r="T35">
        <v>1.0580000000000001</v>
      </c>
      <c r="U35">
        <v>5.1210000000000004</v>
      </c>
      <c r="V35">
        <v>2.4079999999999999</v>
      </c>
      <c r="W35">
        <v>14.382999999999999</v>
      </c>
      <c r="X35">
        <v>41.811</v>
      </c>
      <c r="Y35">
        <v>5.41</v>
      </c>
      <c r="Z35">
        <v>4.9320000000000004</v>
      </c>
      <c r="AA35">
        <v>28.213999999999999</v>
      </c>
      <c r="AB35">
        <v>2.3010000000000002</v>
      </c>
      <c r="AC35">
        <v>15.958</v>
      </c>
      <c r="AD35">
        <v>66.738</v>
      </c>
      <c r="AE35">
        <v>1.5740000000000001</v>
      </c>
      <c r="AF35">
        <v>21.443999999999999</v>
      </c>
      <c r="AG35">
        <v>30.081</v>
      </c>
      <c r="AH35">
        <v>1.4350000000000001</v>
      </c>
    </row>
    <row r="36" spans="1:34" x14ac:dyDescent="0.25">
      <c r="A36" s="143">
        <v>44610</v>
      </c>
      <c r="B36">
        <v>15.452999999999999</v>
      </c>
      <c r="C36">
        <v>12.444000000000001</v>
      </c>
      <c r="D36">
        <v>4.1660000000000004</v>
      </c>
      <c r="E36">
        <v>16.876000000000001</v>
      </c>
      <c r="F36">
        <v>23.286999999999999</v>
      </c>
      <c r="G36">
        <v>3.39</v>
      </c>
      <c r="H36">
        <v>3.2719999999999998</v>
      </c>
      <c r="I36">
        <v>24.34</v>
      </c>
      <c r="J36">
        <v>29.177</v>
      </c>
      <c r="K36">
        <v>2.7480000000000002</v>
      </c>
      <c r="L36">
        <v>3.23</v>
      </c>
      <c r="M36">
        <v>6.8250000000000002</v>
      </c>
      <c r="N36">
        <v>1.496</v>
      </c>
      <c r="O36">
        <v>6.7119999999999997</v>
      </c>
      <c r="P36">
        <v>28.754999999999999</v>
      </c>
      <c r="Q36">
        <v>17.286999999999999</v>
      </c>
      <c r="R36">
        <v>18.632000000000001</v>
      </c>
      <c r="S36">
        <v>1.794</v>
      </c>
      <c r="T36">
        <v>1.0569999999999999</v>
      </c>
      <c r="U36">
        <v>5.1210000000000004</v>
      </c>
      <c r="V36">
        <v>2.399</v>
      </c>
      <c r="W36">
        <v>14.407</v>
      </c>
      <c r="X36">
        <v>41.671999999999997</v>
      </c>
      <c r="Y36">
        <v>5.3840000000000003</v>
      </c>
      <c r="Z36">
        <v>4.9219999999999997</v>
      </c>
      <c r="AA36">
        <v>28.193000000000001</v>
      </c>
      <c r="AB36">
        <v>2.3010000000000002</v>
      </c>
      <c r="AC36">
        <v>15.954000000000001</v>
      </c>
      <c r="AD36">
        <v>66.781999999999996</v>
      </c>
      <c r="AE36">
        <v>1.573</v>
      </c>
      <c r="AF36">
        <v>21.434999999999999</v>
      </c>
      <c r="AG36">
        <v>30.077000000000002</v>
      </c>
      <c r="AH36">
        <v>1.425</v>
      </c>
    </row>
    <row r="37" spans="1:34" x14ac:dyDescent="0.25">
      <c r="A37" s="143">
        <v>44613</v>
      </c>
      <c r="B37">
        <v>15.462</v>
      </c>
      <c r="C37">
        <v>12.45</v>
      </c>
      <c r="D37">
        <v>4.1980000000000004</v>
      </c>
      <c r="E37">
        <v>16.849</v>
      </c>
      <c r="F37">
        <v>23.443999999999999</v>
      </c>
      <c r="G37">
        <v>3.39</v>
      </c>
      <c r="H37">
        <v>3.2730000000000001</v>
      </c>
      <c r="I37">
        <v>24.35</v>
      </c>
      <c r="J37">
        <v>29.234000000000002</v>
      </c>
      <c r="K37">
        <v>2.7530000000000001</v>
      </c>
      <c r="L37">
        <v>3.2320000000000002</v>
      </c>
      <c r="M37">
        <v>6.8109999999999999</v>
      </c>
      <c r="N37">
        <v>1.4990000000000001</v>
      </c>
      <c r="O37">
        <v>6.6820000000000004</v>
      </c>
      <c r="P37">
        <v>28.759</v>
      </c>
      <c r="Q37">
        <v>17.221</v>
      </c>
      <c r="R37">
        <v>18.702999999999999</v>
      </c>
      <c r="S37">
        <v>1.8</v>
      </c>
      <c r="T37">
        <v>1.0589999999999999</v>
      </c>
      <c r="U37">
        <v>5.1390000000000002</v>
      </c>
      <c r="V37">
        <v>2.3929999999999998</v>
      </c>
      <c r="W37">
        <v>14.433</v>
      </c>
      <c r="X37">
        <v>41.77</v>
      </c>
      <c r="Y37">
        <v>5.37</v>
      </c>
      <c r="Z37">
        <v>4.9240000000000004</v>
      </c>
      <c r="AA37">
        <v>27.324999999999999</v>
      </c>
      <c r="AB37">
        <v>2.2850000000000001</v>
      </c>
      <c r="AC37">
        <v>15.952</v>
      </c>
      <c r="AD37">
        <v>66.591999999999999</v>
      </c>
      <c r="AE37">
        <v>1.5740000000000001</v>
      </c>
      <c r="AF37">
        <v>21.478000000000002</v>
      </c>
      <c r="AG37">
        <v>30.138999999999999</v>
      </c>
      <c r="AH37">
        <v>1.417</v>
      </c>
    </row>
    <row r="38" spans="1:34" x14ac:dyDescent="0.25">
      <c r="A38" s="143">
        <v>44614</v>
      </c>
      <c r="B38">
        <v>15.569000000000001</v>
      </c>
      <c r="C38">
        <v>12.526</v>
      </c>
      <c r="D38">
        <v>4.2510000000000003</v>
      </c>
      <c r="E38">
        <v>16.963000000000001</v>
      </c>
      <c r="F38">
        <v>23.501999999999999</v>
      </c>
      <c r="G38">
        <v>3.4129999999999998</v>
      </c>
      <c r="H38">
        <v>3.2930000000000001</v>
      </c>
      <c r="I38">
        <v>24.5</v>
      </c>
      <c r="J38">
        <v>29.274000000000001</v>
      </c>
      <c r="K38">
        <v>2.7679999999999998</v>
      </c>
      <c r="L38">
        <v>3.2509999999999999</v>
      </c>
      <c r="M38">
        <v>6.8840000000000003</v>
      </c>
      <c r="N38">
        <v>1.504</v>
      </c>
      <c r="O38">
        <v>6.6989999999999998</v>
      </c>
      <c r="P38">
        <v>28.896999999999998</v>
      </c>
      <c r="Q38">
        <v>17.350999999999999</v>
      </c>
      <c r="R38">
        <v>18.763999999999999</v>
      </c>
      <c r="S38">
        <v>1.81</v>
      </c>
      <c r="T38">
        <v>1.0640000000000001</v>
      </c>
      <c r="U38">
        <v>5.16</v>
      </c>
      <c r="V38">
        <v>2.4249999999999998</v>
      </c>
      <c r="W38">
        <v>14.542999999999999</v>
      </c>
      <c r="X38">
        <v>42.084000000000003</v>
      </c>
      <c r="Y38">
        <v>5.391</v>
      </c>
      <c r="Z38">
        <v>4.9530000000000003</v>
      </c>
      <c r="AA38">
        <v>27.268000000000001</v>
      </c>
      <c r="AB38">
        <v>2.3109999999999999</v>
      </c>
      <c r="AC38">
        <v>16.047000000000001</v>
      </c>
      <c r="AD38">
        <v>66.671000000000006</v>
      </c>
      <c r="AE38">
        <v>1.56</v>
      </c>
      <c r="AF38">
        <v>21.596</v>
      </c>
      <c r="AG38">
        <v>30.305</v>
      </c>
      <c r="AH38">
        <v>1.4279999999999999</v>
      </c>
    </row>
    <row r="39" spans="1:34" x14ac:dyDescent="0.25">
      <c r="A39" s="143">
        <v>44615</v>
      </c>
      <c r="B39">
        <v>15.696999999999999</v>
      </c>
      <c r="C39">
        <v>12.513</v>
      </c>
      <c r="D39">
        <v>4.3099999999999996</v>
      </c>
      <c r="E39">
        <v>17.004999999999999</v>
      </c>
      <c r="F39">
        <v>23.463000000000001</v>
      </c>
      <c r="G39">
        <v>3.4169999999999998</v>
      </c>
      <c r="H39">
        <v>3.29</v>
      </c>
      <c r="I39">
        <v>24.475000000000001</v>
      </c>
      <c r="J39">
        <v>29.327000000000002</v>
      </c>
      <c r="K39">
        <v>2.7639999999999998</v>
      </c>
      <c r="L39">
        <v>3.2480000000000002</v>
      </c>
      <c r="M39">
        <v>6.851</v>
      </c>
      <c r="N39">
        <v>1.5049999999999999</v>
      </c>
      <c r="O39">
        <v>6.7030000000000003</v>
      </c>
      <c r="P39">
        <v>28.925999999999998</v>
      </c>
      <c r="Q39">
        <v>17.334</v>
      </c>
      <c r="R39">
        <v>18.744</v>
      </c>
      <c r="S39">
        <v>1.8129999999999999</v>
      </c>
      <c r="T39">
        <v>1.0680000000000001</v>
      </c>
      <c r="U39">
        <v>5.1550000000000002</v>
      </c>
      <c r="V39">
        <v>2.4390000000000001</v>
      </c>
      <c r="W39">
        <v>14.672000000000001</v>
      </c>
      <c r="X39">
        <v>42.210999999999999</v>
      </c>
      <c r="Y39">
        <v>5.3840000000000003</v>
      </c>
      <c r="Z39">
        <v>4.9480000000000004</v>
      </c>
      <c r="AA39">
        <v>26.93</v>
      </c>
      <c r="AB39">
        <v>2.3170000000000002</v>
      </c>
      <c r="AC39">
        <v>16.045999999999999</v>
      </c>
      <c r="AD39">
        <v>66.835999999999999</v>
      </c>
      <c r="AE39">
        <v>1.56</v>
      </c>
      <c r="AF39">
        <v>21.574000000000002</v>
      </c>
      <c r="AG39">
        <v>30.248999999999999</v>
      </c>
      <c r="AH39">
        <v>1.4350000000000001</v>
      </c>
    </row>
    <row r="40" spans="1:34" x14ac:dyDescent="0.25">
      <c r="A40" s="143">
        <v>44616</v>
      </c>
      <c r="B40">
        <v>16.071999999999999</v>
      </c>
      <c r="C40">
        <v>12.815</v>
      </c>
      <c r="D40">
        <v>4.407</v>
      </c>
      <c r="E40">
        <v>17.507999999999999</v>
      </c>
      <c r="F40">
        <v>24.285</v>
      </c>
      <c r="G40">
        <v>3.55</v>
      </c>
      <c r="H40">
        <v>3.3690000000000002</v>
      </c>
      <c r="I40">
        <v>25.065000000000001</v>
      </c>
      <c r="J40">
        <v>30.029</v>
      </c>
      <c r="K40">
        <v>2.875</v>
      </c>
      <c r="L40">
        <v>3.32</v>
      </c>
      <c r="M40">
        <v>6.8</v>
      </c>
      <c r="N40">
        <v>1.5609999999999999</v>
      </c>
      <c r="O40">
        <v>6.8440000000000003</v>
      </c>
      <c r="P40">
        <v>29.731999999999999</v>
      </c>
      <c r="Q40">
        <v>17.651</v>
      </c>
      <c r="R40">
        <v>19.536000000000001</v>
      </c>
      <c r="S40">
        <v>1.86</v>
      </c>
      <c r="T40">
        <v>1.093</v>
      </c>
      <c r="U40">
        <v>5.3440000000000003</v>
      </c>
      <c r="V40">
        <v>2.4849999999999999</v>
      </c>
      <c r="W40">
        <v>15.015000000000001</v>
      </c>
      <c r="X40">
        <v>43.634999999999998</v>
      </c>
      <c r="Y40">
        <v>5.383</v>
      </c>
      <c r="Z40">
        <v>5.0629999999999997</v>
      </c>
      <c r="AA40">
        <v>26.294</v>
      </c>
      <c r="AB40">
        <v>2.335</v>
      </c>
      <c r="AC40">
        <v>16.571000000000002</v>
      </c>
      <c r="AD40">
        <v>68.644000000000005</v>
      </c>
      <c r="AE40">
        <v>1.5760000000000001</v>
      </c>
      <c r="AF40">
        <v>22.452000000000002</v>
      </c>
      <c r="AG40">
        <v>31.486999999999998</v>
      </c>
      <c r="AH40">
        <v>1.46</v>
      </c>
    </row>
    <row r="41" spans="1:34" x14ac:dyDescent="0.25">
      <c r="A41" s="143">
        <v>44617</v>
      </c>
      <c r="B41">
        <v>15.869</v>
      </c>
      <c r="C41">
        <v>12.606999999999999</v>
      </c>
      <c r="D41">
        <v>4.2960000000000003</v>
      </c>
      <c r="E41">
        <v>17.215</v>
      </c>
      <c r="F41">
        <v>23.722999999999999</v>
      </c>
      <c r="G41">
        <v>3.4820000000000002</v>
      </c>
      <c r="H41">
        <v>3.3140000000000001</v>
      </c>
      <c r="I41">
        <v>24.66</v>
      </c>
      <c r="J41">
        <v>29.463999999999999</v>
      </c>
      <c r="K41">
        <v>2.8159999999999998</v>
      </c>
      <c r="L41">
        <v>3.2650000000000001</v>
      </c>
      <c r="M41">
        <v>6.7489999999999997</v>
      </c>
      <c r="N41">
        <v>1.53</v>
      </c>
      <c r="O41">
        <v>6.7770000000000001</v>
      </c>
      <c r="P41">
        <v>29.239000000000001</v>
      </c>
      <c r="Q41">
        <v>17.489000000000001</v>
      </c>
      <c r="R41">
        <v>19.027999999999999</v>
      </c>
      <c r="S41">
        <v>1.8320000000000001</v>
      </c>
      <c r="T41">
        <v>1.0760000000000001</v>
      </c>
      <c r="U41">
        <v>5.2350000000000003</v>
      </c>
      <c r="V41">
        <v>2.472</v>
      </c>
      <c r="W41">
        <v>14.808</v>
      </c>
      <c r="X41">
        <v>42.85</v>
      </c>
      <c r="Y41">
        <v>5.319</v>
      </c>
      <c r="Z41">
        <v>4.984</v>
      </c>
      <c r="AA41">
        <v>26.638999999999999</v>
      </c>
      <c r="AB41">
        <v>2.33</v>
      </c>
      <c r="AC41">
        <v>16.25</v>
      </c>
      <c r="AD41">
        <v>67.733999999999995</v>
      </c>
      <c r="AE41">
        <v>1.5940000000000001</v>
      </c>
      <c r="AF41">
        <v>21.986000000000001</v>
      </c>
      <c r="AG41">
        <v>30.652999999999999</v>
      </c>
      <c r="AH41">
        <v>1.448</v>
      </c>
    </row>
    <row r="42" spans="1:34" x14ac:dyDescent="0.25">
      <c r="A42" s="143">
        <v>44620</v>
      </c>
      <c r="B42">
        <v>16.126000000000001</v>
      </c>
      <c r="C42">
        <v>12.779</v>
      </c>
      <c r="D42">
        <v>4.327</v>
      </c>
      <c r="E42">
        <v>17.527999999999999</v>
      </c>
      <c r="F42">
        <v>24.175999999999998</v>
      </c>
      <c r="G42">
        <v>3.5379999999999998</v>
      </c>
      <c r="H42">
        <v>3.359</v>
      </c>
      <c r="I42">
        <v>24.995000000000001</v>
      </c>
      <c r="J42">
        <v>29.925000000000001</v>
      </c>
      <c r="K42">
        <v>2.8570000000000002</v>
      </c>
      <c r="L42">
        <v>3.3039999999999998</v>
      </c>
      <c r="M42">
        <v>6.7619999999999996</v>
      </c>
      <c r="N42">
        <v>1.554</v>
      </c>
      <c r="O42">
        <v>6.8879999999999999</v>
      </c>
      <c r="P42">
        <v>29.568999999999999</v>
      </c>
      <c r="Q42">
        <v>17.626999999999999</v>
      </c>
      <c r="R42">
        <v>19.332999999999998</v>
      </c>
      <c r="S42">
        <v>1.855</v>
      </c>
      <c r="T42">
        <v>1.091</v>
      </c>
      <c r="U42">
        <v>5.3170000000000002</v>
      </c>
      <c r="V42">
        <v>2.5139999999999998</v>
      </c>
      <c r="W42">
        <v>15.036</v>
      </c>
      <c r="X42">
        <v>43.543999999999997</v>
      </c>
      <c r="Y42">
        <v>5.3380000000000001</v>
      </c>
      <c r="Z42">
        <v>5.0510000000000002</v>
      </c>
      <c r="AA42">
        <v>23.228000000000002</v>
      </c>
      <c r="AB42">
        <v>2.3570000000000002</v>
      </c>
      <c r="AC42">
        <v>16.446000000000002</v>
      </c>
      <c r="AD42">
        <v>68.376999999999995</v>
      </c>
      <c r="AE42">
        <v>1.6180000000000001</v>
      </c>
      <c r="AF42">
        <v>22.324999999999999</v>
      </c>
      <c r="AG42">
        <v>31.126000000000001</v>
      </c>
      <c r="AH42">
        <v>1.446</v>
      </c>
    </row>
    <row r="43" spans="1:34" x14ac:dyDescent="0.25">
      <c r="A43" s="143">
        <v>44621</v>
      </c>
      <c r="B43">
        <v>16.582000000000001</v>
      </c>
      <c r="C43">
        <v>13.02</v>
      </c>
      <c r="D43">
        <v>4.423</v>
      </c>
      <c r="E43">
        <v>17.989999999999998</v>
      </c>
      <c r="F43">
        <v>24.858000000000001</v>
      </c>
      <c r="G43">
        <v>3.6160000000000001</v>
      </c>
      <c r="H43">
        <v>3.4239999999999999</v>
      </c>
      <c r="I43">
        <v>25.465</v>
      </c>
      <c r="J43">
        <v>30.588000000000001</v>
      </c>
      <c r="K43">
        <v>2.92</v>
      </c>
      <c r="L43">
        <v>3.3650000000000002</v>
      </c>
      <c r="M43">
        <v>6.7069999999999999</v>
      </c>
      <c r="N43">
        <v>1.5920000000000001</v>
      </c>
      <c r="O43">
        <v>7.0449999999999999</v>
      </c>
      <c r="P43">
        <v>30.149000000000001</v>
      </c>
      <c r="Q43">
        <v>17.933</v>
      </c>
      <c r="R43">
        <v>19.881</v>
      </c>
      <c r="S43">
        <v>1.8979999999999999</v>
      </c>
      <c r="T43">
        <v>1.1140000000000001</v>
      </c>
      <c r="U43">
        <v>5.4429999999999996</v>
      </c>
      <c r="V43">
        <v>2.5830000000000002</v>
      </c>
      <c r="W43">
        <v>15.454000000000001</v>
      </c>
      <c r="X43">
        <v>44.466000000000001</v>
      </c>
      <c r="Y43">
        <v>5.3040000000000003</v>
      </c>
      <c r="Z43">
        <v>5.1449999999999996</v>
      </c>
      <c r="AA43">
        <v>22.876999999999999</v>
      </c>
      <c r="AB43">
        <v>2.3820000000000001</v>
      </c>
      <c r="AC43">
        <v>16.812999999999999</v>
      </c>
      <c r="AD43">
        <v>69.841999999999999</v>
      </c>
      <c r="AE43">
        <v>1.639</v>
      </c>
      <c r="AF43">
        <v>22.824000000000002</v>
      </c>
      <c r="AG43">
        <v>31.837</v>
      </c>
      <c r="AH43">
        <v>1.4790000000000001</v>
      </c>
    </row>
    <row r="44" spans="1:34" x14ac:dyDescent="0.25">
      <c r="A44" s="143"/>
    </row>
    <row r="45" spans="1:34" x14ac:dyDescent="0.25">
      <c r="A45" s="143">
        <v>44622</v>
      </c>
      <c r="B45">
        <v>16.942</v>
      </c>
      <c r="C45">
        <v>13.226000000000001</v>
      </c>
      <c r="D45">
        <v>4.5149999999999997</v>
      </c>
      <c r="E45">
        <v>18.364000000000001</v>
      </c>
      <c r="F45">
        <v>25.321999999999999</v>
      </c>
      <c r="G45">
        <v>3.6880000000000002</v>
      </c>
      <c r="H45">
        <v>3.4769999999999999</v>
      </c>
      <c r="I45">
        <v>25.864999999999998</v>
      </c>
      <c r="J45">
        <v>31.05</v>
      </c>
      <c r="K45">
        <v>2.9809999999999999</v>
      </c>
      <c r="L45">
        <v>3.4119999999999999</v>
      </c>
      <c r="M45">
        <v>6.7679999999999998</v>
      </c>
      <c r="N45">
        <v>1.619</v>
      </c>
      <c r="O45">
        <v>7.1950000000000003</v>
      </c>
      <c r="P45">
        <v>30.736999999999998</v>
      </c>
      <c r="Q45">
        <v>18.087</v>
      </c>
      <c r="R45">
        <v>20.196000000000002</v>
      </c>
      <c r="S45">
        <v>1.9319999999999999</v>
      </c>
      <c r="T45">
        <v>1.125</v>
      </c>
      <c r="U45">
        <v>5.5529999999999999</v>
      </c>
      <c r="V45">
        <v>2.6190000000000002</v>
      </c>
      <c r="W45">
        <v>15.78</v>
      </c>
      <c r="X45">
        <v>45.228000000000002</v>
      </c>
      <c r="Y45">
        <v>5.3869999999999996</v>
      </c>
      <c r="Z45">
        <v>5.226</v>
      </c>
      <c r="AB45">
        <v>2.395</v>
      </c>
      <c r="AC45">
        <v>17.181999999999999</v>
      </c>
      <c r="AD45">
        <v>71.265000000000001</v>
      </c>
      <c r="AE45">
        <v>1.6559999999999999</v>
      </c>
      <c r="AF45">
        <v>23.297000000000001</v>
      </c>
      <c r="AG45">
        <v>32.493000000000002</v>
      </c>
      <c r="AH45">
        <v>1.5049999999999999</v>
      </c>
    </row>
    <row r="46" spans="1:34" x14ac:dyDescent="0.25">
      <c r="A46" s="143">
        <v>44623</v>
      </c>
      <c r="B46">
        <v>16.940000000000001</v>
      </c>
      <c r="C46">
        <v>13.112</v>
      </c>
      <c r="D46">
        <v>4.577</v>
      </c>
      <c r="E46">
        <v>18.329000000000001</v>
      </c>
      <c r="F46">
        <v>25.166</v>
      </c>
      <c r="G46">
        <v>3.6640000000000001</v>
      </c>
      <c r="H46">
        <v>3.4470000000000001</v>
      </c>
      <c r="I46">
        <v>25.645</v>
      </c>
      <c r="J46">
        <v>30.989000000000001</v>
      </c>
      <c r="K46">
        <v>2.9630000000000001</v>
      </c>
      <c r="L46">
        <v>3.387</v>
      </c>
      <c r="M46">
        <v>6.7759999999999998</v>
      </c>
      <c r="N46">
        <v>1.609</v>
      </c>
      <c r="O46">
        <v>7.149</v>
      </c>
      <c r="P46">
        <v>30.47</v>
      </c>
      <c r="Q46">
        <v>17.884</v>
      </c>
      <c r="R46">
        <v>20.009</v>
      </c>
      <c r="S46">
        <v>1.917</v>
      </c>
      <c r="T46">
        <v>1.1200000000000001</v>
      </c>
      <c r="U46">
        <v>5.5309999999999997</v>
      </c>
      <c r="V46">
        <v>2.6059999999999999</v>
      </c>
      <c r="W46">
        <v>15.705</v>
      </c>
      <c r="X46">
        <v>44.761000000000003</v>
      </c>
      <c r="Y46">
        <v>5.3769999999999998</v>
      </c>
      <c r="Z46">
        <v>5.181</v>
      </c>
      <c r="AB46">
        <v>2.3820000000000001</v>
      </c>
      <c r="AC46">
        <v>17.05</v>
      </c>
      <c r="AD46">
        <v>71.099999999999994</v>
      </c>
      <c r="AE46">
        <v>1.637</v>
      </c>
      <c r="AF46">
        <v>23.154</v>
      </c>
      <c r="AG46">
        <v>32.197000000000003</v>
      </c>
      <c r="AH46">
        <v>1.52</v>
      </c>
    </row>
    <row r="47" spans="1:34" x14ac:dyDescent="0.25">
      <c r="A47" s="143">
        <v>44624</v>
      </c>
      <c r="B47">
        <v>17.306999999999999</v>
      </c>
      <c r="C47">
        <v>13.157</v>
      </c>
      <c r="D47">
        <v>4.6539999999999999</v>
      </c>
      <c r="E47">
        <v>18.463999999999999</v>
      </c>
      <c r="F47">
        <v>25.594999999999999</v>
      </c>
      <c r="G47">
        <v>3.7269999999999999</v>
      </c>
      <c r="H47">
        <v>3.4590000000000001</v>
      </c>
      <c r="I47">
        <v>25.734999999999999</v>
      </c>
      <c r="J47">
        <v>31.234999999999999</v>
      </c>
      <c r="K47">
        <v>3.0129999999999999</v>
      </c>
      <c r="L47">
        <v>3.4049999999999998</v>
      </c>
      <c r="M47">
        <v>6.6559999999999997</v>
      </c>
      <c r="N47">
        <v>1.637</v>
      </c>
      <c r="O47">
        <v>7.23</v>
      </c>
      <c r="P47">
        <v>30.847999999999999</v>
      </c>
      <c r="Q47">
        <v>17.847000000000001</v>
      </c>
      <c r="R47">
        <v>20.398</v>
      </c>
      <c r="S47">
        <v>1.9319999999999999</v>
      </c>
      <c r="T47">
        <v>1.131</v>
      </c>
      <c r="U47">
        <v>5.6360000000000001</v>
      </c>
      <c r="V47">
        <v>2.6160000000000001</v>
      </c>
      <c r="W47">
        <v>16.081</v>
      </c>
      <c r="X47">
        <v>45.298999999999999</v>
      </c>
      <c r="Y47">
        <v>5.3010000000000002</v>
      </c>
      <c r="Z47">
        <v>5.2</v>
      </c>
      <c r="AB47">
        <v>2.3839999999999999</v>
      </c>
      <c r="AC47">
        <v>17.303999999999998</v>
      </c>
      <c r="AD47">
        <v>71.938999999999993</v>
      </c>
      <c r="AE47">
        <v>1.653</v>
      </c>
      <c r="AF47">
        <v>23.548999999999999</v>
      </c>
      <c r="AG47">
        <v>32.728000000000002</v>
      </c>
      <c r="AH47">
        <v>1.532</v>
      </c>
    </row>
    <row r="48" spans="1:34" x14ac:dyDescent="0.25">
      <c r="A48" s="143">
        <v>44627</v>
      </c>
      <c r="B48">
        <v>17.341999999999999</v>
      </c>
      <c r="C48">
        <v>13.082000000000001</v>
      </c>
      <c r="D48">
        <v>4.6449999999999996</v>
      </c>
      <c r="E48">
        <v>18.452999999999999</v>
      </c>
      <c r="F48">
        <v>25.411999999999999</v>
      </c>
      <c r="G48">
        <v>3.7170000000000001</v>
      </c>
      <c r="H48">
        <v>3.4380000000000002</v>
      </c>
      <c r="I48">
        <v>25.585000000000001</v>
      </c>
      <c r="J48">
        <v>30.963000000000001</v>
      </c>
      <c r="K48">
        <v>3.0049999999999999</v>
      </c>
      <c r="L48">
        <v>3.3839999999999999</v>
      </c>
      <c r="M48">
        <v>6.5060000000000002</v>
      </c>
      <c r="N48">
        <v>1.63</v>
      </c>
      <c r="O48">
        <v>7.1749999999999998</v>
      </c>
      <c r="P48">
        <v>30.53</v>
      </c>
      <c r="Q48">
        <v>17.547999999999998</v>
      </c>
      <c r="R48">
        <v>20.376999999999999</v>
      </c>
      <c r="S48">
        <v>1.911</v>
      </c>
      <c r="T48">
        <v>1.111</v>
      </c>
      <c r="U48">
        <v>5.6219999999999999</v>
      </c>
      <c r="V48">
        <v>2.6019999999999999</v>
      </c>
      <c r="W48">
        <v>16.126999999999999</v>
      </c>
      <c r="X48">
        <v>44.930999999999997</v>
      </c>
      <c r="Y48">
        <v>5.1660000000000004</v>
      </c>
      <c r="Z48">
        <v>5.1689999999999996</v>
      </c>
      <c r="AB48">
        <v>2.3559999999999999</v>
      </c>
      <c r="AC48">
        <v>17.253</v>
      </c>
      <c r="AD48">
        <v>71.384</v>
      </c>
      <c r="AE48">
        <v>1.6339999999999999</v>
      </c>
      <c r="AF48">
        <v>23.484999999999999</v>
      </c>
      <c r="AG48">
        <v>32.530999999999999</v>
      </c>
      <c r="AH48">
        <v>1.532</v>
      </c>
    </row>
    <row r="49" spans="1:34" x14ac:dyDescent="0.25">
      <c r="A49" s="143">
        <v>44628</v>
      </c>
      <c r="B49">
        <v>17.126999999999999</v>
      </c>
      <c r="C49">
        <v>13.109</v>
      </c>
      <c r="D49">
        <v>4.633</v>
      </c>
      <c r="E49">
        <v>18.341999999999999</v>
      </c>
      <c r="F49">
        <v>25.36</v>
      </c>
      <c r="G49">
        <v>3.7269999999999999</v>
      </c>
      <c r="H49">
        <v>3.444</v>
      </c>
      <c r="I49">
        <v>25.64</v>
      </c>
      <c r="J49">
        <v>30.824999999999999</v>
      </c>
      <c r="K49">
        <v>3.01</v>
      </c>
      <c r="L49">
        <v>3.387</v>
      </c>
      <c r="M49">
        <v>6.6020000000000003</v>
      </c>
      <c r="N49">
        <v>1.635</v>
      </c>
      <c r="O49">
        <v>7.1180000000000003</v>
      </c>
      <c r="P49">
        <v>30.553000000000001</v>
      </c>
      <c r="Q49">
        <v>17.574000000000002</v>
      </c>
      <c r="R49">
        <v>20.346</v>
      </c>
      <c r="S49">
        <v>1.907</v>
      </c>
      <c r="T49">
        <v>1.101</v>
      </c>
      <c r="U49">
        <v>5.6289999999999996</v>
      </c>
      <c r="V49">
        <v>2.6179999999999999</v>
      </c>
      <c r="W49">
        <v>16.068999999999999</v>
      </c>
      <c r="X49">
        <v>45.064</v>
      </c>
      <c r="Y49">
        <v>5.2220000000000004</v>
      </c>
      <c r="Z49">
        <v>5.18</v>
      </c>
      <c r="AB49">
        <v>2.3570000000000002</v>
      </c>
      <c r="AC49">
        <v>17.260000000000002</v>
      </c>
      <c r="AD49">
        <v>70.918000000000006</v>
      </c>
      <c r="AE49">
        <v>1.621</v>
      </c>
      <c r="AF49">
        <v>23.541</v>
      </c>
      <c r="AG49">
        <v>32.487000000000002</v>
      </c>
      <c r="AH49">
        <v>1.536</v>
      </c>
    </row>
    <row r="50" spans="1:34" x14ac:dyDescent="0.25">
      <c r="A50" s="143">
        <v>44629</v>
      </c>
      <c r="B50">
        <v>16.920000000000002</v>
      </c>
      <c r="C50">
        <v>12.97</v>
      </c>
      <c r="D50">
        <v>4.5960000000000001</v>
      </c>
      <c r="E50">
        <v>17.978999999999999</v>
      </c>
      <c r="F50">
        <v>24.872</v>
      </c>
      <c r="G50">
        <v>3.6539999999999999</v>
      </c>
      <c r="H50">
        <v>3.4079999999999999</v>
      </c>
      <c r="I50">
        <v>25.364999999999998</v>
      </c>
      <c r="J50">
        <v>30.353999999999999</v>
      </c>
      <c r="K50">
        <v>2.95</v>
      </c>
      <c r="L50">
        <v>3.355</v>
      </c>
      <c r="M50">
        <v>6.68</v>
      </c>
      <c r="N50">
        <v>1.6080000000000001</v>
      </c>
      <c r="O50">
        <v>7.0460000000000003</v>
      </c>
      <c r="P50">
        <v>30.123999999999999</v>
      </c>
      <c r="Q50">
        <v>17.457000000000001</v>
      </c>
      <c r="R50">
        <v>19.922999999999998</v>
      </c>
      <c r="S50">
        <v>1.875</v>
      </c>
      <c r="T50">
        <v>1.0920000000000001</v>
      </c>
      <c r="U50">
        <v>5.5110000000000001</v>
      </c>
      <c r="V50">
        <v>2.589</v>
      </c>
      <c r="W50">
        <v>15.798999999999999</v>
      </c>
      <c r="X50">
        <v>44.298999999999999</v>
      </c>
      <c r="Y50">
        <v>5.2629999999999999</v>
      </c>
      <c r="Z50">
        <v>5.1260000000000003</v>
      </c>
      <c r="AB50">
        <v>2.363</v>
      </c>
      <c r="AC50">
        <v>16.948</v>
      </c>
      <c r="AD50">
        <v>69.831000000000003</v>
      </c>
      <c r="AE50">
        <v>1.5720000000000001</v>
      </c>
      <c r="AF50">
        <v>23.074000000000002</v>
      </c>
      <c r="AG50">
        <v>31.852</v>
      </c>
      <c r="AH50">
        <v>1.5229999999999999</v>
      </c>
    </row>
    <row r="51" spans="1:34" x14ac:dyDescent="0.25">
      <c r="A51" s="143">
        <v>44630</v>
      </c>
      <c r="B51">
        <v>16.751999999999999</v>
      </c>
      <c r="C51">
        <v>12.943</v>
      </c>
      <c r="D51">
        <v>4.5199999999999996</v>
      </c>
      <c r="E51">
        <v>17.841999999999999</v>
      </c>
      <c r="F51">
        <v>24.645</v>
      </c>
      <c r="G51">
        <v>3.6139999999999999</v>
      </c>
      <c r="H51">
        <v>3.403</v>
      </c>
      <c r="I51">
        <v>25.315000000000001</v>
      </c>
      <c r="J51">
        <v>30.082999999999998</v>
      </c>
      <c r="K51">
        <v>2.9209999999999998</v>
      </c>
      <c r="L51">
        <v>3.3450000000000002</v>
      </c>
      <c r="M51">
        <v>6.633</v>
      </c>
      <c r="N51">
        <v>1.6</v>
      </c>
      <c r="O51">
        <v>6.99</v>
      </c>
      <c r="P51">
        <v>29.925999999999998</v>
      </c>
      <c r="Q51">
        <v>17.399000000000001</v>
      </c>
      <c r="R51">
        <v>19.698</v>
      </c>
      <c r="S51">
        <v>1.861</v>
      </c>
      <c r="T51">
        <v>1.0860000000000001</v>
      </c>
      <c r="U51">
        <v>5.4550000000000001</v>
      </c>
      <c r="V51">
        <v>2.552</v>
      </c>
      <c r="W51">
        <v>15.638999999999999</v>
      </c>
      <c r="X51">
        <v>43.789000000000001</v>
      </c>
      <c r="Y51">
        <v>5.2480000000000002</v>
      </c>
      <c r="Z51">
        <v>5.1150000000000002</v>
      </c>
      <c r="AB51">
        <v>2.3639999999999999</v>
      </c>
      <c r="AC51">
        <v>16.811</v>
      </c>
      <c r="AD51">
        <v>68.977000000000004</v>
      </c>
      <c r="AE51">
        <v>1.534</v>
      </c>
      <c r="AF51">
        <v>22.841000000000001</v>
      </c>
      <c r="AG51">
        <v>31.597000000000001</v>
      </c>
      <c r="AH51">
        <v>1.5129999999999999</v>
      </c>
    </row>
    <row r="52" spans="1:34" x14ac:dyDescent="0.25">
      <c r="A52" s="143">
        <v>44631</v>
      </c>
      <c r="B52">
        <v>16.786000000000001</v>
      </c>
      <c r="C52">
        <v>12.888999999999999</v>
      </c>
      <c r="D52">
        <v>4.577</v>
      </c>
      <c r="E52">
        <v>17.977</v>
      </c>
      <c r="F52">
        <v>24.637</v>
      </c>
      <c r="G52">
        <v>3.62</v>
      </c>
      <c r="H52">
        <v>3.3889999999999998</v>
      </c>
      <c r="I52">
        <v>25.21</v>
      </c>
      <c r="J52">
        <v>30.018999999999998</v>
      </c>
      <c r="K52">
        <v>2.931</v>
      </c>
      <c r="L52">
        <v>3.33</v>
      </c>
      <c r="M52">
        <v>6.6180000000000003</v>
      </c>
      <c r="N52">
        <v>1.6040000000000001</v>
      </c>
      <c r="O52">
        <v>7.0640000000000001</v>
      </c>
      <c r="P52">
        <v>30.013999999999999</v>
      </c>
      <c r="Q52">
        <v>17.398</v>
      </c>
      <c r="R52">
        <v>19.622</v>
      </c>
      <c r="S52">
        <v>1.861</v>
      </c>
      <c r="T52">
        <v>1.0980000000000001</v>
      </c>
      <c r="U52">
        <v>5.468</v>
      </c>
      <c r="V52">
        <v>2.5720000000000001</v>
      </c>
      <c r="W52">
        <v>15.702999999999999</v>
      </c>
      <c r="X52">
        <v>43.865000000000002</v>
      </c>
      <c r="Y52">
        <v>5.2690000000000001</v>
      </c>
      <c r="Z52">
        <v>5.093</v>
      </c>
      <c r="AB52">
        <v>2.3679999999999999</v>
      </c>
      <c r="AC52">
        <v>16.861000000000001</v>
      </c>
      <c r="AD52">
        <v>68.974999999999994</v>
      </c>
      <c r="AE52">
        <v>1.55</v>
      </c>
      <c r="AF52">
        <v>22.934999999999999</v>
      </c>
      <c r="AG52">
        <v>31.786999999999999</v>
      </c>
      <c r="AH52">
        <v>1.5289999999999999</v>
      </c>
    </row>
    <row r="53" spans="1:34" x14ac:dyDescent="0.25">
      <c r="A53" s="143">
        <v>44634</v>
      </c>
      <c r="B53">
        <v>16.445</v>
      </c>
      <c r="C53">
        <v>12.727</v>
      </c>
      <c r="D53">
        <v>4.5030000000000001</v>
      </c>
      <c r="E53">
        <v>17.809999999999999</v>
      </c>
      <c r="F53">
        <v>24.286000000000001</v>
      </c>
      <c r="G53">
        <v>3.57</v>
      </c>
      <c r="H53">
        <v>3.3450000000000002</v>
      </c>
      <c r="I53">
        <v>24.89</v>
      </c>
      <c r="J53">
        <v>29.664000000000001</v>
      </c>
      <c r="K53">
        <v>2.9009999999999998</v>
      </c>
      <c r="L53">
        <v>3.286</v>
      </c>
      <c r="M53">
        <v>6.657</v>
      </c>
      <c r="N53">
        <v>1.585</v>
      </c>
      <c r="O53">
        <v>6.9420000000000002</v>
      </c>
      <c r="P53">
        <v>29.66</v>
      </c>
      <c r="Q53">
        <v>17.154</v>
      </c>
      <c r="R53">
        <v>19.251000000000001</v>
      </c>
      <c r="S53">
        <v>1.833</v>
      </c>
      <c r="T53">
        <v>1.0900000000000001</v>
      </c>
      <c r="U53">
        <v>5.4009999999999998</v>
      </c>
      <c r="V53">
        <v>2.5249999999999999</v>
      </c>
      <c r="W53">
        <v>15.433</v>
      </c>
      <c r="X53">
        <v>43.368000000000002</v>
      </c>
      <c r="Y53">
        <v>5.2709999999999999</v>
      </c>
      <c r="Z53">
        <v>5.0289999999999999</v>
      </c>
      <c r="AB53">
        <v>2.3620000000000001</v>
      </c>
      <c r="AC53">
        <v>16.654</v>
      </c>
      <c r="AD53">
        <v>68.004000000000005</v>
      </c>
      <c r="AE53">
        <v>1.5369999999999999</v>
      </c>
      <c r="AF53">
        <v>22.712</v>
      </c>
      <c r="AG53">
        <v>31.416</v>
      </c>
      <c r="AH53">
        <v>1.508</v>
      </c>
    </row>
    <row r="54" spans="1:34" x14ac:dyDescent="0.25">
      <c r="A54" s="143">
        <v>44635</v>
      </c>
      <c r="B54">
        <v>16.32</v>
      </c>
      <c r="C54">
        <v>12.712999999999999</v>
      </c>
      <c r="D54">
        <v>4.41</v>
      </c>
      <c r="E54">
        <v>17.637</v>
      </c>
      <c r="F54">
        <v>24.088000000000001</v>
      </c>
      <c r="G54">
        <v>3.5459999999999998</v>
      </c>
      <c r="H54">
        <v>3.3420000000000001</v>
      </c>
      <c r="I54">
        <v>24.864999999999998</v>
      </c>
      <c r="J54">
        <v>29.582000000000001</v>
      </c>
      <c r="K54">
        <v>2.89</v>
      </c>
      <c r="L54">
        <v>3.282</v>
      </c>
      <c r="M54">
        <v>6.6929999999999996</v>
      </c>
      <c r="N54">
        <v>1.579</v>
      </c>
      <c r="O54">
        <v>6.89</v>
      </c>
      <c r="P54">
        <v>29.617000000000001</v>
      </c>
      <c r="Q54">
        <v>17.184000000000001</v>
      </c>
      <c r="R54">
        <v>19.175000000000001</v>
      </c>
      <c r="S54">
        <v>1.82</v>
      </c>
      <c r="T54">
        <v>1.0840000000000001</v>
      </c>
      <c r="U54">
        <v>5.3769999999999998</v>
      </c>
      <c r="V54">
        <v>2.524</v>
      </c>
      <c r="W54">
        <v>15.334</v>
      </c>
      <c r="X54">
        <v>43.216999999999999</v>
      </c>
      <c r="Y54">
        <v>5.2510000000000003</v>
      </c>
      <c r="Z54">
        <v>5.0250000000000004</v>
      </c>
      <c r="AB54">
        <v>2.3620000000000001</v>
      </c>
      <c r="AC54">
        <v>16.585000000000001</v>
      </c>
      <c r="AD54">
        <v>67.510999999999996</v>
      </c>
      <c r="AE54">
        <v>1.5449999999999999</v>
      </c>
      <c r="AF54">
        <v>22.623000000000001</v>
      </c>
      <c r="AG54">
        <v>31.175000000000001</v>
      </c>
      <c r="AH54">
        <v>1.496</v>
      </c>
    </row>
    <row r="55" spans="1:34" x14ac:dyDescent="0.25">
      <c r="A55" s="143">
        <v>44636</v>
      </c>
      <c r="B55">
        <v>16.283000000000001</v>
      </c>
      <c r="C55">
        <v>12.621</v>
      </c>
      <c r="D55">
        <v>4.3739999999999997</v>
      </c>
      <c r="E55">
        <v>17.683</v>
      </c>
      <c r="F55">
        <v>23.89</v>
      </c>
      <c r="G55">
        <v>3.5379999999999998</v>
      </c>
      <c r="H55">
        <v>3.3170000000000002</v>
      </c>
      <c r="I55">
        <v>24.684999999999999</v>
      </c>
      <c r="J55">
        <v>29.402000000000001</v>
      </c>
      <c r="K55">
        <v>2.8719999999999999</v>
      </c>
      <c r="L55">
        <v>3.26</v>
      </c>
      <c r="M55">
        <v>6.6529999999999996</v>
      </c>
      <c r="N55">
        <v>1.57</v>
      </c>
      <c r="O55">
        <v>6.8849999999999998</v>
      </c>
      <c r="P55">
        <v>29.48</v>
      </c>
      <c r="Q55">
        <v>17.202000000000002</v>
      </c>
      <c r="R55">
        <v>18.988</v>
      </c>
      <c r="S55">
        <v>1.8240000000000001</v>
      </c>
      <c r="T55">
        <v>1.081</v>
      </c>
      <c r="U55">
        <v>5.3520000000000003</v>
      </c>
      <c r="V55">
        <v>2.5190000000000001</v>
      </c>
      <c r="W55">
        <v>15.273999999999999</v>
      </c>
      <c r="X55">
        <v>43.003999999999998</v>
      </c>
      <c r="Y55">
        <v>5.28</v>
      </c>
      <c r="Z55">
        <v>4.9889999999999999</v>
      </c>
      <c r="AB55">
        <v>2.3690000000000002</v>
      </c>
      <c r="AC55">
        <v>16.5</v>
      </c>
      <c r="AD55">
        <v>67.323999999999998</v>
      </c>
      <c r="AE55">
        <v>1.5269999999999999</v>
      </c>
      <c r="AF55">
        <v>22.465</v>
      </c>
      <c r="AG55">
        <v>30.986999999999998</v>
      </c>
      <c r="AH55">
        <v>1.4930000000000001</v>
      </c>
    </row>
    <row r="56" spans="1:34" x14ac:dyDescent="0.25">
      <c r="A56" s="143">
        <v>44637</v>
      </c>
      <c r="B56">
        <v>16.457999999999998</v>
      </c>
      <c r="C56">
        <v>12.667</v>
      </c>
      <c r="D56">
        <v>4.3979999999999997</v>
      </c>
      <c r="E56">
        <v>17.704000000000001</v>
      </c>
      <c r="F56">
        <v>23.86</v>
      </c>
      <c r="G56">
        <v>3.5310000000000001</v>
      </c>
      <c r="H56">
        <v>3.3279999999999998</v>
      </c>
      <c r="I56">
        <v>24.774999999999999</v>
      </c>
      <c r="J56">
        <v>29.393999999999998</v>
      </c>
      <c r="K56">
        <v>2.8679999999999999</v>
      </c>
      <c r="L56">
        <v>3.2719999999999998</v>
      </c>
      <c r="M56">
        <v>6.6589999999999998</v>
      </c>
      <c r="N56">
        <v>1.5680000000000001</v>
      </c>
      <c r="O56">
        <v>6.9260000000000002</v>
      </c>
      <c r="P56">
        <v>29.553999999999998</v>
      </c>
      <c r="Q56">
        <v>17.434999999999999</v>
      </c>
      <c r="R56">
        <v>18.88</v>
      </c>
      <c r="S56">
        <v>1.849</v>
      </c>
      <c r="T56">
        <v>1.087</v>
      </c>
      <c r="U56">
        <v>5.3440000000000003</v>
      </c>
      <c r="V56">
        <v>2.5350000000000001</v>
      </c>
      <c r="W56">
        <v>15.36</v>
      </c>
      <c r="X56">
        <v>42.930999999999997</v>
      </c>
      <c r="Y56">
        <v>5.2839999999999998</v>
      </c>
      <c r="Z56">
        <v>5.008</v>
      </c>
      <c r="AB56">
        <v>2.371</v>
      </c>
      <c r="AC56">
        <v>16.542000000000002</v>
      </c>
      <c r="AD56">
        <v>67.432000000000002</v>
      </c>
      <c r="AE56">
        <v>1.5189999999999999</v>
      </c>
      <c r="AF56">
        <v>22.422999999999998</v>
      </c>
      <c r="AG56">
        <v>30.974</v>
      </c>
      <c r="AH56">
        <v>1.4990000000000001</v>
      </c>
    </row>
    <row r="57" spans="1:34" x14ac:dyDescent="0.25">
      <c r="A57" s="143">
        <v>44638</v>
      </c>
      <c r="B57">
        <v>16.620999999999999</v>
      </c>
      <c r="C57">
        <v>12.702</v>
      </c>
      <c r="D57">
        <v>4.4539999999999997</v>
      </c>
      <c r="E57">
        <v>17.859000000000002</v>
      </c>
      <c r="F57">
        <v>24.077999999999999</v>
      </c>
      <c r="G57">
        <v>3.548</v>
      </c>
      <c r="H57">
        <v>3.3380000000000001</v>
      </c>
      <c r="I57">
        <v>24.84</v>
      </c>
      <c r="J57">
        <v>29.597000000000001</v>
      </c>
      <c r="K57">
        <v>2.8849999999999998</v>
      </c>
      <c r="L57">
        <v>3.2829999999999999</v>
      </c>
      <c r="M57">
        <v>6.6180000000000003</v>
      </c>
      <c r="N57">
        <v>1.5740000000000001</v>
      </c>
      <c r="O57">
        <v>6.9459999999999997</v>
      </c>
      <c r="P57">
        <v>29.651</v>
      </c>
      <c r="Q57">
        <v>17.382999999999999</v>
      </c>
      <c r="R57">
        <v>18.902999999999999</v>
      </c>
      <c r="S57">
        <v>1.8580000000000001</v>
      </c>
      <c r="T57">
        <v>1.1000000000000001</v>
      </c>
      <c r="U57">
        <v>5.3819999999999997</v>
      </c>
      <c r="V57">
        <v>2.5619999999999998</v>
      </c>
      <c r="W57">
        <v>15.502000000000001</v>
      </c>
      <c r="X57">
        <v>43.11</v>
      </c>
      <c r="Y57">
        <v>5.27</v>
      </c>
      <c r="Z57">
        <v>5.0199999999999996</v>
      </c>
      <c r="AB57">
        <v>2.3809999999999998</v>
      </c>
      <c r="AC57">
        <v>16.614999999999998</v>
      </c>
      <c r="AD57">
        <v>67.616</v>
      </c>
      <c r="AE57">
        <v>1.524</v>
      </c>
      <c r="AF57">
        <v>22.567</v>
      </c>
      <c r="AG57">
        <v>31.216000000000001</v>
      </c>
      <c r="AH57">
        <v>1.5029999999999999</v>
      </c>
    </row>
    <row r="58" spans="1:34" x14ac:dyDescent="0.25">
      <c r="A58" s="143">
        <v>44641</v>
      </c>
      <c r="B58">
        <v>16.57</v>
      </c>
      <c r="C58">
        <v>12.622</v>
      </c>
      <c r="D58">
        <v>4.4870000000000001</v>
      </c>
      <c r="E58">
        <v>17.760000000000002</v>
      </c>
      <c r="F58">
        <v>24.018000000000001</v>
      </c>
      <c r="G58">
        <v>3.5190000000000001</v>
      </c>
      <c r="H58">
        <v>3.3170000000000002</v>
      </c>
      <c r="I58">
        <v>24.684999999999999</v>
      </c>
      <c r="J58">
        <v>29.465</v>
      </c>
      <c r="K58">
        <v>2.8580000000000001</v>
      </c>
      <c r="L58">
        <v>3.26</v>
      </c>
      <c r="M58">
        <v>6.5919999999999996</v>
      </c>
      <c r="N58">
        <v>1.56</v>
      </c>
      <c r="O58">
        <v>6.9269999999999996</v>
      </c>
      <c r="P58">
        <v>29.327000000000002</v>
      </c>
      <c r="Q58">
        <v>17.298999999999999</v>
      </c>
      <c r="R58">
        <v>18.763999999999999</v>
      </c>
      <c r="S58">
        <v>1.839</v>
      </c>
      <c r="T58">
        <v>1.0980000000000001</v>
      </c>
      <c r="U58">
        <v>5.319</v>
      </c>
      <c r="V58">
        <v>2.556</v>
      </c>
      <c r="W58">
        <v>15.429</v>
      </c>
      <c r="X58">
        <v>42.698999999999998</v>
      </c>
      <c r="Y58">
        <v>5.2560000000000002</v>
      </c>
      <c r="Z58">
        <v>4.99</v>
      </c>
      <c r="AB58">
        <v>2.3719999999999999</v>
      </c>
      <c r="AC58">
        <v>16.501000000000001</v>
      </c>
      <c r="AD58">
        <v>66.703000000000003</v>
      </c>
      <c r="AE58">
        <v>1.508</v>
      </c>
      <c r="AF58">
        <v>22.366</v>
      </c>
      <c r="AG58">
        <v>30.891999999999999</v>
      </c>
      <c r="AH58">
        <v>1.5</v>
      </c>
    </row>
    <row r="59" spans="1:34" x14ac:dyDescent="0.25">
      <c r="A59" s="143">
        <v>44642</v>
      </c>
      <c r="B59">
        <v>16.675000000000001</v>
      </c>
      <c r="C59">
        <v>12.62</v>
      </c>
      <c r="D59">
        <v>4.5620000000000003</v>
      </c>
      <c r="E59">
        <v>17.797999999999998</v>
      </c>
      <c r="F59">
        <v>24.018000000000001</v>
      </c>
      <c r="G59">
        <v>3.5209999999999999</v>
      </c>
      <c r="H59">
        <v>3.3170000000000002</v>
      </c>
      <c r="I59">
        <v>24.68</v>
      </c>
      <c r="J59">
        <v>29.655000000000001</v>
      </c>
      <c r="K59">
        <v>2.86</v>
      </c>
      <c r="L59">
        <v>3.2570000000000001</v>
      </c>
      <c r="M59">
        <v>6.65</v>
      </c>
      <c r="N59">
        <v>1.5589999999999999</v>
      </c>
      <c r="O59">
        <v>6.9489999999999998</v>
      </c>
      <c r="P59">
        <v>29.414000000000001</v>
      </c>
      <c r="Q59">
        <v>17.295000000000002</v>
      </c>
      <c r="R59">
        <v>18.559999999999999</v>
      </c>
      <c r="S59">
        <v>1.837</v>
      </c>
      <c r="T59">
        <v>1.1040000000000001</v>
      </c>
      <c r="U59">
        <v>5.31</v>
      </c>
      <c r="V59">
        <v>2.5649999999999999</v>
      </c>
      <c r="W59">
        <v>15.561999999999999</v>
      </c>
      <c r="X59">
        <v>42.741</v>
      </c>
      <c r="Y59">
        <v>5.2679999999999998</v>
      </c>
      <c r="Z59">
        <v>4.99</v>
      </c>
      <c r="AB59">
        <v>2.3780000000000001</v>
      </c>
      <c r="AC59">
        <v>16.501999999999999</v>
      </c>
      <c r="AD59">
        <v>66.917000000000002</v>
      </c>
      <c r="AE59">
        <v>1.51</v>
      </c>
      <c r="AF59">
        <v>22.388999999999999</v>
      </c>
      <c r="AG59">
        <v>30.937999999999999</v>
      </c>
      <c r="AH59">
        <v>1.51</v>
      </c>
    </row>
    <row r="60" spans="1:34" x14ac:dyDescent="0.25">
      <c r="A60" s="143">
        <v>44643</v>
      </c>
      <c r="B60">
        <v>16.702999999999999</v>
      </c>
      <c r="C60">
        <v>12.58</v>
      </c>
      <c r="D60">
        <v>4.5670000000000002</v>
      </c>
      <c r="E60">
        <v>17.777000000000001</v>
      </c>
      <c r="F60">
        <v>23.959</v>
      </c>
      <c r="G60">
        <v>3.5169999999999999</v>
      </c>
      <c r="H60">
        <v>3.3079999999999998</v>
      </c>
      <c r="I60">
        <v>24.605</v>
      </c>
      <c r="J60">
        <v>29.54</v>
      </c>
      <c r="K60">
        <v>2.863</v>
      </c>
      <c r="L60">
        <v>3.25</v>
      </c>
      <c r="M60">
        <v>6.61</v>
      </c>
      <c r="N60">
        <v>1.5609999999999999</v>
      </c>
      <c r="O60">
        <v>6.9480000000000004</v>
      </c>
      <c r="P60">
        <v>29.3</v>
      </c>
      <c r="Q60">
        <v>17.401</v>
      </c>
      <c r="R60">
        <v>18.547000000000001</v>
      </c>
      <c r="S60">
        <v>1.839</v>
      </c>
      <c r="T60">
        <v>1.1080000000000001</v>
      </c>
      <c r="U60">
        <v>5.3019999999999996</v>
      </c>
      <c r="V60">
        <v>2.5510000000000002</v>
      </c>
      <c r="W60">
        <v>15.55</v>
      </c>
      <c r="X60">
        <v>42.738999999999997</v>
      </c>
      <c r="Y60">
        <v>5.2290000000000001</v>
      </c>
      <c r="Z60">
        <v>4.9740000000000002</v>
      </c>
      <c r="AB60">
        <v>2.3650000000000002</v>
      </c>
      <c r="AC60">
        <v>16.491</v>
      </c>
      <c r="AD60">
        <v>66.558000000000007</v>
      </c>
      <c r="AE60">
        <v>1.508</v>
      </c>
      <c r="AF60">
        <v>22.396999999999998</v>
      </c>
      <c r="AG60">
        <v>30.9</v>
      </c>
      <c r="AH60">
        <v>1.514</v>
      </c>
    </row>
    <row r="61" spans="1:34" x14ac:dyDescent="0.25">
      <c r="A61" s="143">
        <v>44644</v>
      </c>
      <c r="B61">
        <v>16.852</v>
      </c>
      <c r="C61">
        <v>12.64</v>
      </c>
      <c r="D61">
        <v>4.6589999999999998</v>
      </c>
      <c r="E61">
        <v>17.905999999999999</v>
      </c>
      <c r="F61">
        <v>24.178000000000001</v>
      </c>
      <c r="G61">
        <v>3.5369999999999999</v>
      </c>
      <c r="H61">
        <v>3.323</v>
      </c>
      <c r="I61">
        <v>24.72</v>
      </c>
      <c r="J61">
        <v>29.681000000000001</v>
      </c>
      <c r="K61">
        <v>2.8780000000000001</v>
      </c>
      <c r="L61">
        <v>3.2639999999999998</v>
      </c>
      <c r="M61">
        <v>6.6020000000000003</v>
      </c>
      <c r="N61">
        <v>1.569</v>
      </c>
      <c r="O61">
        <v>6.9710000000000001</v>
      </c>
      <c r="P61">
        <v>29.474</v>
      </c>
      <c r="Q61">
        <v>17.507000000000001</v>
      </c>
      <c r="R61">
        <v>18.486999999999998</v>
      </c>
      <c r="S61">
        <v>1.841</v>
      </c>
      <c r="T61">
        <v>1.115</v>
      </c>
      <c r="U61">
        <v>5.3289999999999997</v>
      </c>
      <c r="V61">
        <v>2.6040000000000001</v>
      </c>
      <c r="W61">
        <v>15.632999999999999</v>
      </c>
      <c r="X61">
        <v>43.051000000000002</v>
      </c>
      <c r="Y61">
        <v>5.2130000000000001</v>
      </c>
      <c r="Z61">
        <v>4.9950000000000001</v>
      </c>
      <c r="AB61">
        <v>2.387</v>
      </c>
      <c r="AC61">
        <v>16.577999999999999</v>
      </c>
      <c r="AD61">
        <v>67.162999999999997</v>
      </c>
      <c r="AE61">
        <v>1.5169999999999999</v>
      </c>
      <c r="AF61">
        <v>22.52</v>
      </c>
      <c r="AG61">
        <v>31.045000000000002</v>
      </c>
      <c r="AH61">
        <v>1.5289999999999999</v>
      </c>
    </row>
    <row r="62" spans="1:34" x14ac:dyDescent="0.25">
      <c r="A62" s="143">
        <v>44645</v>
      </c>
      <c r="B62">
        <v>16.850999999999999</v>
      </c>
      <c r="C62">
        <v>12.6</v>
      </c>
      <c r="D62">
        <v>4.6829999999999998</v>
      </c>
      <c r="E62">
        <v>17.885000000000002</v>
      </c>
      <c r="F62">
        <v>24.145</v>
      </c>
      <c r="G62">
        <v>3.5209999999999999</v>
      </c>
      <c r="H62">
        <v>3.3119999999999998</v>
      </c>
      <c r="I62">
        <v>24.645</v>
      </c>
      <c r="J62">
        <v>29.553000000000001</v>
      </c>
      <c r="K62">
        <v>2.8620000000000001</v>
      </c>
      <c r="L62">
        <v>3.2530000000000001</v>
      </c>
      <c r="M62">
        <v>6.593</v>
      </c>
      <c r="N62">
        <v>1.5620000000000001</v>
      </c>
      <c r="O62">
        <v>6.9720000000000004</v>
      </c>
      <c r="P62">
        <v>29.4</v>
      </c>
      <c r="Q62">
        <v>17.331</v>
      </c>
      <c r="R62">
        <v>18.382999999999999</v>
      </c>
      <c r="S62">
        <v>1.835</v>
      </c>
      <c r="T62">
        <v>1.121</v>
      </c>
      <c r="U62">
        <v>5.32</v>
      </c>
      <c r="V62">
        <v>2.589</v>
      </c>
      <c r="W62">
        <v>15.611000000000001</v>
      </c>
      <c r="X62">
        <v>42.994</v>
      </c>
      <c r="Y62">
        <v>5.21</v>
      </c>
      <c r="Z62">
        <v>4.9800000000000004</v>
      </c>
      <c r="AB62">
        <v>2.3809999999999998</v>
      </c>
      <c r="AC62">
        <v>16.518000000000001</v>
      </c>
      <c r="AD62">
        <v>66.777000000000001</v>
      </c>
      <c r="AE62">
        <v>1.5089999999999999</v>
      </c>
      <c r="AF62">
        <v>22.4</v>
      </c>
      <c r="AG62">
        <v>30.870999999999999</v>
      </c>
      <c r="AH62">
        <v>1.5369999999999999</v>
      </c>
    </row>
    <row r="63" spans="1:34" x14ac:dyDescent="0.25">
      <c r="A63" s="143">
        <v>44648</v>
      </c>
      <c r="B63">
        <v>16.896999999999998</v>
      </c>
      <c r="C63">
        <v>12.605</v>
      </c>
      <c r="D63">
        <v>4.7350000000000003</v>
      </c>
      <c r="E63">
        <v>17.994</v>
      </c>
      <c r="F63">
        <v>24.032</v>
      </c>
      <c r="G63">
        <v>3.532</v>
      </c>
      <c r="H63">
        <v>3.3130000000000002</v>
      </c>
      <c r="I63">
        <v>24.65</v>
      </c>
      <c r="J63">
        <v>29.475000000000001</v>
      </c>
      <c r="K63">
        <v>2.8719999999999999</v>
      </c>
      <c r="L63">
        <v>3.2549999999999999</v>
      </c>
      <c r="M63">
        <v>6.5890000000000004</v>
      </c>
      <c r="N63">
        <v>1.5660000000000001</v>
      </c>
      <c r="O63">
        <v>6.984</v>
      </c>
      <c r="P63">
        <v>29.535</v>
      </c>
      <c r="Q63">
        <v>17.262</v>
      </c>
      <c r="R63">
        <v>18.138000000000002</v>
      </c>
      <c r="S63">
        <v>1.837</v>
      </c>
      <c r="T63">
        <v>1.1220000000000001</v>
      </c>
      <c r="U63">
        <v>5.3330000000000002</v>
      </c>
      <c r="V63">
        <v>2.5910000000000002</v>
      </c>
      <c r="W63">
        <v>15.568</v>
      </c>
      <c r="X63">
        <v>43.197000000000003</v>
      </c>
      <c r="Y63">
        <v>5.2249999999999996</v>
      </c>
      <c r="Z63">
        <v>4.9809999999999999</v>
      </c>
      <c r="AB63">
        <v>2.3650000000000002</v>
      </c>
      <c r="AC63">
        <v>16.524999999999999</v>
      </c>
      <c r="AD63">
        <v>66.625</v>
      </c>
      <c r="AE63">
        <v>1.5149999999999999</v>
      </c>
      <c r="AF63">
        <v>22.484999999999999</v>
      </c>
      <c r="AG63">
        <v>31.015000000000001</v>
      </c>
      <c r="AH63">
        <v>1.5409999999999999</v>
      </c>
    </row>
    <row r="64" spans="1:34" x14ac:dyDescent="0.25">
      <c r="A64" s="143">
        <v>44649</v>
      </c>
      <c r="B64">
        <v>16.542999999999999</v>
      </c>
      <c r="C64">
        <v>12.515000000000001</v>
      </c>
      <c r="D64">
        <v>4.6710000000000003</v>
      </c>
      <c r="E64">
        <v>17.648</v>
      </c>
      <c r="F64">
        <v>23.619</v>
      </c>
      <c r="G64">
        <v>3.472</v>
      </c>
      <c r="H64">
        <v>3.29</v>
      </c>
      <c r="I64">
        <v>24.475000000000001</v>
      </c>
      <c r="J64">
        <v>28.986999999999998</v>
      </c>
      <c r="K64">
        <v>2.8210000000000002</v>
      </c>
      <c r="L64">
        <v>3.2280000000000002</v>
      </c>
      <c r="M64">
        <v>6.62</v>
      </c>
      <c r="N64">
        <v>1.5369999999999999</v>
      </c>
      <c r="O64">
        <v>6.8949999999999996</v>
      </c>
      <c r="P64">
        <v>29.157</v>
      </c>
      <c r="Q64">
        <v>17.212</v>
      </c>
      <c r="R64">
        <v>17.908000000000001</v>
      </c>
      <c r="S64">
        <v>1.8169999999999999</v>
      </c>
      <c r="T64">
        <v>1.1040000000000001</v>
      </c>
      <c r="U64">
        <v>5.2409999999999997</v>
      </c>
      <c r="V64">
        <v>2.5489999999999999</v>
      </c>
      <c r="W64">
        <v>15.247</v>
      </c>
      <c r="X64">
        <v>42.494</v>
      </c>
      <c r="Y64">
        <v>5.2530000000000001</v>
      </c>
      <c r="Z64">
        <v>4.9470000000000001</v>
      </c>
      <c r="AB64">
        <v>2.37</v>
      </c>
      <c r="AC64">
        <v>16.263000000000002</v>
      </c>
      <c r="AD64">
        <v>65.646000000000001</v>
      </c>
      <c r="AE64">
        <v>1.5</v>
      </c>
      <c r="AF64">
        <v>22.081</v>
      </c>
      <c r="AG64">
        <v>30.379000000000001</v>
      </c>
      <c r="AH64">
        <v>1.5129999999999999</v>
      </c>
    </row>
    <row r="65" spans="1:34" x14ac:dyDescent="0.25">
      <c r="A65" s="143">
        <v>44650</v>
      </c>
      <c r="B65">
        <v>16.518000000000001</v>
      </c>
      <c r="C65">
        <v>12.506</v>
      </c>
      <c r="D65">
        <v>4.6349999999999998</v>
      </c>
      <c r="E65">
        <v>17.61</v>
      </c>
      <c r="F65">
        <v>23.728000000000002</v>
      </c>
      <c r="G65">
        <v>3.4620000000000002</v>
      </c>
      <c r="H65">
        <v>3.2879999999999998</v>
      </c>
      <c r="I65">
        <v>24.46</v>
      </c>
      <c r="J65">
        <v>28.945</v>
      </c>
      <c r="K65">
        <v>2.8090000000000002</v>
      </c>
      <c r="L65">
        <v>3.2309999999999999</v>
      </c>
      <c r="M65">
        <v>6.6440000000000001</v>
      </c>
      <c r="N65">
        <v>1.5329999999999999</v>
      </c>
      <c r="O65">
        <v>6.9109999999999996</v>
      </c>
      <c r="P65">
        <v>28.99</v>
      </c>
      <c r="Q65">
        <v>17.201000000000001</v>
      </c>
      <c r="R65">
        <v>18.055</v>
      </c>
      <c r="S65">
        <v>1.8160000000000001</v>
      </c>
      <c r="T65">
        <v>1.1040000000000001</v>
      </c>
      <c r="U65">
        <v>5.2290000000000001</v>
      </c>
      <c r="V65">
        <v>2.5379999999999998</v>
      </c>
      <c r="W65">
        <v>15.34</v>
      </c>
      <c r="X65">
        <v>42.244</v>
      </c>
      <c r="Y65">
        <v>5.24</v>
      </c>
      <c r="Z65">
        <v>4.944</v>
      </c>
      <c r="AB65">
        <v>2.363</v>
      </c>
      <c r="AC65">
        <v>16.239000000000001</v>
      </c>
      <c r="AD65">
        <v>65.846000000000004</v>
      </c>
      <c r="AE65">
        <v>1.498</v>
      </c>
      <c r="AF65">
        <v>21.986999999999998</v>
      </c>
      <c r="AG65">
        <v>30.297999999999998</v>
      </c>
      <c r="AH65">
        <v>1.5169999999999999</v>
      </c>
    </row>
    <row r="66" spans="1:34" x14ac:dyDescent="0.25">
      <c r="A66" s="143">
        <v>44651</v>
      </c>
      <c r="B66">
        <v>16.443000000000001</v>
      </c>
      <c r="C66">
        <v>12.468</v>
      </c>
      <c r="D66">
        <v>4.6029999999999998</v>
      </c>
      <c r="E66">
        <v>17.545999999999999</v>
      </c>
      <c r="F66">
        <v>23.751000000000001</v>
      </c>
      <c r="G66">
        <v>3.4630000000000001</v>
      </c>
      <c r="H66">
        <v>3.2789999999999999</v>
      </c>
      <c r="I66">
        <v>24.385000000000002</v>
      </c>
      <c r="J66">
        <v>28.827000000000002</v>
      </c>
      <c r="K66">
        <v>2.8050000000000002</v>
      </c>
      <c r="L66">
        <v>3.22</v>
      </c>
      <c r="M66">
        <v>6.5960000000000001</v>
      </c>
      <c r="N66">
        <v>1.528</v>
      </c>
      <c r="O66">
        <v>6.9189999999999996</v>
      </c>
      <c r="P66">
        <v>28.978000000000002</v>
      </c>
      <c r="Q66">
        <v>17.172999999999998</v>
      </c>
      <c r="R66">
        <v>18.030999999999999</v>
      </c>
      <c r="S66">
        <v>1.8089999999999999</v>
      </c>
      <c r="T66">
        <v>1.1040000000000001</v>
      </c>
      <c r="U66">
        <v>5.2229999999999999</v>
      </c>
      <c r="V66">
        <v>2.5110000000000001</v>
      </c>
      <c r="W66">
        <v>15.224</v>
      </c>
      <c r="X66">
        <v>42.392000000000003</v>
      </c>
      <c r="Y66">
        <v>5.2409999999999997</v>
      </c>
      <c r="Z66">
        <v>4.93</v>
      </c>
      <c r="AB66">
        <v>2.359</v>
      </c>
      <c r="AC66">
        <v>16.222999999999999</v>
      </c>
      <c r="AD66">
        <v>66.054000000000002</v>
      </c>
      <c r="AE66">
        <v>1.4970000000000001</v>
      </c>
      <c r="AF66">
        <v>21.963000000000001</v>
      </c>
      <c r="AG66">
        <v>30.381</v>
      </c>
      <c r="AH66">
        <v>1.5069999999999999</v>
      </c>
    </row>
    <row r="67" spans="1:34" x14ac:dyDescent="0.25">
      <c r="A67" s="143">
        <v>44652</v>
      </c>
      <c r="B67">
        <v>16.585000000000001</v>
      </c>
      <c r="C67">
        <v>12.464</v>
      </c>
      <c r="D67">
        <v>4.6710000000000003</v>
      </c>
      <c r="E67">
        <v>17.657</v>
      </c>
      <c r="F67">
        <v>23.859000000000002</v>
      </c>
      <c r="G67">
        <v>3.4670000000000001</v>
      </c>
      <c r="H67">
        <v>3.2770000000000001</v>
      </c>
      <c r="I67">
        <v>24.375</v>
      </c>
      <c r="J67">
        <v>28.966999999999999</v>
      </c>
      <c r="K67">
        <v>2.8149999999999999</v>
      </c>
      <c r="L67">
        <v>3.2210000000000001</v>
      </c>
      <c r="M67">
        <v>6.6219999999999999</v>
      </c>
      <c r="N67">
        <v>1.5349999999999999</v>
      </c>
      <c r="O67">
        <v>6.9020000000000001</v>
      </c>
      <c r="P67">
        <v>29.023</v>
      </c>
      <c r="Q67">
        <v>17.164999999999999</v>
      </c>
      <c r="R67">
        <v>18.007999999999999</v>
      </c>
      <c r="S67">
        <v>1.8109999999999999</v>
      </c>
      <c r="T67">
        <v>1.113</v>
      </c>
      <c r="U67">
        <v>5.2380000000000004</v>
      </c>
      <c r="V67">
        <v>2.5219999999999998</v>
      </c>
      <c r="W67">
        <v>15.319000000000001</v>
      </c>
      <c r="X67">
        <v>42.701000000000001</v>
      </c>
      <c r="Y67">
        <v>5.2530000000000001</v>
      </c>
      <c r="Z67">
        <v>4.9290000000000003</v>
      </c>
      <c r="AB67">
        <v>2.359</v>
      </c>
      <c r="AC67">
        <v>16.265999999999998</v>
      </c>
      <c r="AD67">
        <v>66.031999999999996</v>
      </c>
      <c r="AE67">
        <v>1.5009999999999999</v>
      </c>
      <c r="AF67">
        <v>22.055</v>
      </c>
      <c r="AG67">
        <v>30.489000000000001</v>
      </c>
      <c r="AH67">
        <v>1.508</v>
      </c>
    </row>
    <row r="68" spans="1:34" x14ac:dyDescent="0.25">
      <c r="A68" s="143">
        <v>44655</v>
      </c>
      <c r="B68">
        <v>16.600000000000001</v>
      </c>
      <c r="C68">
        <v>12.435</v>
      </c>
      <c r="D68">
        <v>4.7519999999999998</v>
      </c>
      <c r="E68">
        <v>17.689</v>
      </c>
      <c r="F68">
        <v>23.834</v>
      </c>
      <c r="G68">
        <v>3.4729999999999999</v>
      </c>
      <c r="H68">
        <v>3.2690000000000001</v>
      </c>
      <c r="I68">
        <v>24.32</v>
      </c>
      <c r="J68">
        <v>28.99</v>
      </c>
      <c r="K68">
        <v>2.8210000000000002</v>
      </c>
      <c r="L68">
        <v>3.2229999999999999</v>
      </c>
      <c r="M68">
        <v>6.5869999999999997</v>
      </c>
      <c r="N68">
        <v>1.54</v>
      </c>
      <c r="O68">
        <v>6.8869999999999996</v>
      </c>
      <c r="P68">
        <v>29.26</v>
      </c>
      <c r="Q68">
        <v>17.151</v>
      </c>
      <c r="R68">
        <v>18.004000000000001</v>
      </c>
      <c r="S68">
        <v>1.8169999999999999</v>
      </c>
      <c r="T68">
        <v>1.1140000000000001</v>
      </c>
      <c r="U68">
        <v>5.24</v>
      </c>
      <c r="V68">
        <v>2.5470000000000002</v>
      </c>
      <c r="W68">
        <v>15.336</v>
      </c>
      <c r="X68">
        <v>43.003</v>
      </c>
      <c r="Y68">
        <v>5.2439999999999998</v>
      </c>
      <c r="Z68">
        <v>4.92</v>
      </c>
      <c r="AB68">
        <v>2.3420000000000001</v>
      </c>
      <c r="AC68">
        <v>16.280999999999999</v>
      </c>
      <c r="AD68">
        <v>65.950999999999993</v>
      </c>
      <c r="AE68">
        <v>1.5029999999999999</v>
      </c>
      <c r="AF68">
        <v>22.099</v>
      </c>
      <c r="AG68">
        <v>30.504999999999999</v>
      </c>
      <c r="AH68">
        <v>1.5109999999999999</v>
      </c>
    </row>
    <row r="69" spans="1:34" x14ac:dyDescent="0.25">
      <c r="A69" s="143">
        <v>44656</v>
      </c>
      <c r="B69">
        <v>16.934000000000001</v>
      </c>
      <c r="C69">
        <v>12.445</v>
      </c>
      <c r="D69">
        <v>4.835</v>
      </c>
      <c r="E69">
        <v>17.835000000000001</v>
      </c>
      <c r="F69">
        <v>24.003</v>
      </c>
      <c r="G69">
        <v>3.488</v>
      </c>
      <c r="H69">
        <v>3.2730000000000001</v>
      </c>
      <c r="I69">
        <v>24.34</v>
      </c>
      <c r="J69">
        <v>29.157</v>
      </c>
      <c r="K69">
        <v>2.8330000000000002</v>
      </c>
      <c r="L69">
        <v>3.2280000000000002</v>
      </c>
      <c r="M69">
        <v>6.5609999999999999</v>
      </c>
      <c r="N69">
        <v>1.5469999999999999</v>
      </c>
      <c r="O69">
        <v>6.9260000000000002</v>
      </c>
      <c r="P69">
        <v>29.456</v>
      </c>
      <c r="Q69">
        <v>17.189</v>
      </c>
      <c r="R69">
        <v>18.064</v>
      </c>
      <c r="S69">
        <v>1.829</v>
      </c>
      <c r="T69">
        <v>1.119</v>
      </c>
      <c r="U69">
        <v>5.27</v>
      </c>
      <c r="V69">
        <v>2.5510000000000002</v>
      </c>
      <c r="W69">
        <v>15.548</v>
      </c>
      <c r="X69">
        <v>43.317</v>
      </c>
      <c r="Y69">
        <v>5.2610000000000001</v>
      </c>
      <c r="Z69">
        <v>4.923</v>
      </c>
      <c r="AB69">
        <v>2.3719999999999999</v>
      </c>
      <c r="AC69">
        <v>16.372</v>
      </c>
      <c r="AD69">
        <v>66.38</v>
      </c>
      <c r="AE69">
        <v>1.5069999999999999</v>
      </c>
      <c r="AF69">
        <v>22.190999999999999</v>
      </c>
      <c r="AG69">
        <v>30.556000000000001</v>
      </c>
      <c r="AH69">
        <v>1.526</v>
      </c>
    </row>
    <row r="70" spans="1:34" x14ac:dyDescent="0.25">
      <c r="A70" s="143">
        <v>44657</v>
      </c>
      <c r="B70">
        <v>16.934999999999999</v>
      </c>
      <c r="C70">
        <v>12.496</v>
      </c>
      <c r="D70">
        <v>4.7939999999999996</v>
      </c>
      <c r="E70">
        <v>17.908999999999999</v>
      </c>
      <c r="F70">
        <v>23.989000000000001</v>
      </c>
      <c r="G70">
        <v>3.5169999999999999</v>
      </c>
      <c r="H70">
        <v>3.286</v>
      </c>
      <c r="I70">
        <v>24.44</v>
      </c>
      <c r="J70">
        <v>29.280999999999999</v>
      </c>
      <c r="K70">
        <v>2.855</v>
      </c>
      <c r="L70">
        <v>3.2389999999999999</v>
      </c>
      <c r="M70">
        <v>6.47</v>
      </c>
      <c r="N70">
        <v>1.5580000000000001</v>
      </c>
      <c r="O70">
        <v>6.9429999999999996</v>
      </c>
      <c r="P70">
        <v>29.492999999999999</v>
      </c>
      <c r="Q70">
        <v>17.283999999999999</v>
      </c>
      <c r="R70">
        <v>18.062000000000001</v>
      </c>
      <c r="S70">
        <v>1.837</v>
      </c>
      <c r="T70">
        <v>1.117</v>
      </c>
      <c r="U70">
        <v>5.3079999999999998</v>
      </c>
      <c r="V70">
        <v>2.5590000000000002</v>
      </c>
      <c r="W70">
        <v>15.552</v>
      </c>
      <c r="X70">
        <v>43.512999999999998</v>
      </c>
      <c r="Y70">
        <v>5.2759999999999998</v>
      </c>
      <c r="Z70">
        <v>4.944</v>
      </c>
      <c r="AB70">
        <v>2.3759999999999999</v>
      </c>
      <c r="AC70">
        <v>16.466000000000001</v>
      </c>
      <c r="AD70">
        <v>66.602000000000004</v>
      </c>
      <c r="AE70">
        <v>1.518</v>
      </c>
      <c r="AF70">
        <v>22.375</v>
      </c>
      <c r="AG70">
        <v>30.791</v>
      </c>
      <c r="AH70">
        <v>1.528</v>
      </c>
    </row>
    <row r="71" spans="1:34" x14ac:dyDescent="0.25">
      <c r="A71" s="143">
        <v>44658</v>
      </c>
      <c r="B71">
        <v>16.818000000000001</v>
      </c>
      <c r="C71">
        <v>12.534000000000001</v>
      </c>
      <c r="D71">
        <v>4.7679999999999998</v>
      </c>
      <c r="E71">
        <v>17.888999999999999</v>
      </c>
      <c r="F71">
        <v>24.068000000000001</v>
      </c>
      <c r="G71">
        <v>3.532</v>
      </c>
      <c r="H71">
        <v>3.2959999999999998</v>
      </c>
      <c r="I71">
        <v>24.515000000000001</v>
      </c>
      <c r="J71">
        <v>29.376999999999999</v>
      </c>
      <c r="K71">
        <v>2.8650000000000002</v>
      </c>
      <c r="L71">
        <v>3.2440000000000002</v>
      </c>
      <c r="M71">
        <v>6.4640000000000004</v>
      </c>
      <c r="N71">
        <v>1.5640000000000001</v>
      </c>
      <c r="O71">
        <v>6.9530000000000003</v>
      </c>
      <c r="P71">
        <v>29.547000000000001</v>
      </c>
      <c r="Q71">
        <v>17.387</v>
      </c>
      <c r="R71">
        <v>18.116</v>
      </c>
      <c r="S71">
        <v>1.841</v>
      </c>
      <c r="T71">
        <v>1.115</v>
      </c>
      <c r="U71">
        <v>5.3239999999999998</v>
      </c>
      <c r="V71">
        <v>2.5640000000000001</v>
      </c>
      <c r="W71">
        <v>15.499000000000001</v>
      </c>
      <c r="X71">
        <v>43.686</v>
      </c>
      <c r="Y71">
        <v>5.2869999999999999</v>
      </c>
      <c r="Z71">
        <v>4.9610000000000003</v>
      </c>
      <c r="AB71">
        <v>2.3769999999999998</v>
      </c>
      <c r="AC71">
        <v>16.510999999999999</v>
      </c>
      <c r="AD71">
        <v>67.081000000000003</v>
      </c>
      <c r="AE71">
        <v>1.5229999999999999</v>
      </c>
      <c r="AF71">
        <v>22.457000000000001</v>
      </c>
      <c r="AG71">
        <v>30.827999999999999</v>
      </c>
      <c r="AH71">
        <v>1.5269999999999999</v>
      </c>
    </row>
    <row r="72" spans="1:34" x14ac:dyDescent="0.25">
      <c r="A72" s="143">
        <v>44659</v>
      </c>
      <c r="B72">
        <v>16.827999999999999</v>
      </c>
      <c r="C72">
        <v>12.518000000000001</v>
      </c>
      <c r="D72">
        <v>4.7519999999999998</v>
      </c>
      <c r="E72">
        <v>17.908000000000001</v>
      </c>
      <c r="F72">
        <v>24.113</v>
      </c>
      <c r="G72">
        <v>3.5430000000000001</v>
      </c>
      <c r="H72">
        <v>3.2919999999999998</v>
      </c>
      <c r="I72">
        <v>24.484999999999999</v>
      </c>
      <c r="J72">
        <v>29.375</v>
      </c>
      <c r="K72">
        <v>2.8759999999999999</v>
      </c>
      <c r="L72">
        <v>3.2440000000000002</v>
      </c>
      <c r="M72">
        <v>6.5179999999999998</v>
      </c>
      <c r="N72">
        <v>1.57</v>
      </c>
      <c r="O72">
        <v>6.9950000000000001</v>
      </c>
      <c r="P72">
        <v>29.722000000000001</v>
      </c>
      <c r="Q72">
        <v>17.539000000000001</v>
      </c>
      <c r="R72">
        <v>18.155000000000001</v>
      </c>
      <c r="S72">
        <v>1.837</v>
      </c>
      <c r="T72">
        <v>1.1200000000000001</v>
      </c>
      <c r="U72">
        <v>5.3410000000000002</v>
      </c>
      <c r="V72">
        <v>2.5750000000000002</v>
      </c>
      <c r="W72">
        <v>15.454000000000001</v>
      </c>
      <c r="X72">
        <v>43.741999999999997</v>
      </c>
      <c r="Y72">
        <v>5.2729999999999997</v>
      </c>
      <c r="Z72">
        <v>4.9539999999999997</v>
      </c>
      <c r="AB72">
        <v>2.3820000000000001</v>
      </c>
      <c r="AC72">
        <v>16.542999999999999</v>
      </c>
      <c r="AD72">
        <v>67.161000000000001</v>
      </c>
      <c r="AE72">
        <v>1.528</v>
      </c>
      <c r="AF72">
        <v>22.545999999999999</v>
      </c>
      <c r="AG72">
        <v>30.934999999999999</v>
      </c>
      <c r="AH72">
        <v>1.5309999999999999</v>
      </c>
    </row>
    <row r="73" spans="1:34" x14ac:dyDescent="0.25">
      <c r="A73" s="143">
        <v>44662</v>
      </c>
      <c r="B73">
        <v>16.675000000000001</v>
      </c>
      <c r="C73">
        <v>12.491</v>
      </c>
      <c r="D73">
        <v>4.7389999999999999</v>
      </c>
      <c r="E73">
        <v>17.786000000000001</v>
      </c>
      <c r="F73">
        <v>24.001000000000001</v>
      </c>
      <c r="G73">
        <v>3.5209999999999999</v>
      </c>
      <c r="H73">
        <v>3.2850000000000001</v>
      </c>
      <c r="I73">
        <v>24.43</v>
      </c>
      <c r="J73">
        <v>29.198</v>
      </c>
      <c r="K73">
        <v>2.86</v>
      </c>
      <c r="L73">
        <v>3.234</v>
      </c>
      <c r="M73">
        <v>6.4569999999999999</v>
      </c>
      <c r="N73">
        <v>1.56</v>
      </c>
      <c r="O73">
        <v>6.9790000000000001</v>
      </c>
      <c r="P73">
        <v>29.544</v>
      </c>
      <c r="Q73">
        <v>17.45</v>
      </c>
      <c r="R73">
        <v>17.835999999999999</v>
      </c>
      <c r="S73">
        <v>1.8160000000000001</v>
      </c>
      <c r="T73">
        <v>1.117</v>
      </c>
      <c r="U73">
        <v>5.2990000000000004</v>
      </c>
      <c r="V73">
        <v>2.5579999999999998</v>
      </c>
      <c r="W73">
        <v>15.331</v>
      </c>
      <c r="X73">
        <v>43.052999999999997</v>
      </c>
      <c r="Y73">
        <v>5.26</v>
      </c>
      <c r="Z73">
        <v>4.9459999999999997</v>
      </c>
      <c r="AB73">
        <v>2.3690000000000002</v>
      </c>
      <c r="AC73">
        <v>16.425999999999998</v>
      </c>
      <c r="AD73">
        <v>66.77</v>
      </c>
      <c r="AE73">
        <v>1.5229999999999999</v>
      </c>
      <c r="AF73">
        <v>22.417000000000002</v>
      </c>
      <c r="AG73">
        <v>30.738</v>
      </c>
      <c r="AH73">
        <v>1.536</v>
      </c>
    </row>
    <row r="74" spans="1:34" x14ac:dyDescent="0.25">
      <c r="A74" s="143">
        <v>44663</v>
      </c>
      <c r="B74">
        <v>16.75</v>
      </c>
      <c r="C74">
        <v>12.500999999999999</v>
      </c>
      <c r="D74">
        <v>4.8</v>
      </c>
      <c r="E74">
        <v>17.818000000000001</v>
      </c>
      <c r="F74">
        <v>24.138000000000002</v>
      </c>
      <c r="G74">
        <v>3.5339999999999998</v>
      </c>
      <c r="H74">
        <v>3.2869999999999999</v>
      </c>
      <c r="I74">
        <v>24.45</v>
      </c>
      <c r="J74">
        <v>29.298999999999999</v>
      </c>
      <c r="K74">
        <v>2.8730000000000002</v>
      </c>
      <c r="L74">
        <v>3.238</v>
      </c>
      <c r="M74">
        <v>6.4720000000000004</v>
      </c>
      <c r="N74">
        <v>1.5680000000000001</v>
      </c>
      <c r="O74">
        <v>6.992</v>
      </c>
      <c r="P74">
        <v>29.556999999999999</v>
      </c>
      <c r="Q74">
        <v>17.513999999999999</v>
      </c>
      <c r="R74">
        <v>17.942</v>
      </c>
      <c r="S74">
        <v>1.831</v>
      </c>
      <c r="T74">
        <v>1.1339999999999999</v>
      </c>
      <c r="U74">
        <v>5.319</v>
      </c>
      <c r="V74">
        <v>2.5630000000000002</v>
      </c>
      <c r="W74">
        <v>15.404</v>
      </c>
      <c r="X74">
        <v>43.223999999999997</v>
      </c>
      <c r="Y74">
        <v>5.2530000000000001</v>
      </c>
      <c r="Z74">
        <v>4.9480000000000004</v>
      </c>
      <c r="AB74">
        <v>2.367</v>
      </c>
      <c r="AC74">
        <v>16.52</v>
      </c>
      <c r="AD74">
        <v>66.989000000000004</v>
      </c>
      <c r="AE74">
        <v>1.5329999999999999</v>
      </c>
      <c r="AF74">
        <v>22.515000000000001</v>
      </c>
      <c r="AG74">
        <v>30.866</v>
      </c>
      <c r="AH74">
        <v>1.5429999999999999</v>
      </c>
    </row>
    <row r="75" spans="1:34" x14ac:dyDescent="0.25">
      <c r="A75" s="143">
        <v>44664</v>
      </c>
      <c r="B75">
        <v>16.744</v>
      </c>
      <c r="C75">
        <v>12.500999999999999</v>
      </c>
      <c r="D75">
        <v>4.8479999999999999</v>
      </c>
      <c r="E75">
        <v>17.846</v>
      </c>
      <c r="F75">
        <v>24.167000000000002</v>
      </c>
      <c r="G75">
        <v>3.5470000000000002</v>
      </c>
      <c r="H75">
        <v>3.2869999999999999</v>
      </c>
      <c r="I75">
        <v>24.45</v>
      </c>
      <c r="J75">
        <v>29.359000000000002</v>
      </c>
      <c r="K75">
        <v>2.8809999999999998</v>
      </c>
      <c r="L75">
        <v>3.2360000000000002</v>
      </c>
      <c r="M75">
        <v>6.4610000000000003</v>
      </c>
      <c r="N75">
        <v>1.5720000000000001</v>
      </c>
      <c r="O75">
        <v>7.0289999999999999</v>
      </c>
      <c r="P75">
        <v>29.643999999999998</v>
      </c>
      <c r="Q75">
        <v>17.439</v>
      </c>
      <c r="R75">
        <v>17.942</v>
      </c>
      <c r="S75">
        <v>1.84</v>
      </c>
      <c r="T75">
        <v>1.1419999999999999</v>
      </c>
      <c r="U75">
        <v>5.3380000000000001</v>
      </c>
      <c r="V75">
        <v>2.5550000000000002</v>
      </c>
      <c r="W75">
        <v>15.289</v>
      </c>
      <c r="X75">
        <v>43.316000000000003</v>
      </c>
      <c r="Y75">
        <v>5.2629999999999999</v>
      </c>
      <c r="Z75">
        <v>4.9470000000000001</v>
      </c>
      <c r="AB75">
        <v>2.3660000000000001</v>
      </c>
      <c r="AC75">
        <v>16.555</v>
      </c>
      <c r="AD75">
        <v>67.346999999999994</v>
      </c>
      <c r="AE75">
        <v>1.548</v>
      </c>
      <c r="AF75">
        <v>22.585000000000001</v>
      </c>
      <c r="AG75">
        <v>30.914999999999999</v>
      </c>
      <c r="AH75">
        <v>1.5589999999999999</v>
      </c>
    </row>
    <row r="76" spans="1:34" x14ac:dyDescent="0.25">
      <c r="A76" s="143">
        <v>44665</v>
      </c>
      <c r="B76">
        <v>16.71</v>
      </c>
      <c r="C76">
        <v>12.488</v>
      </c>
      <c r="D76">
        <v>4.7690000000000001</v>
      </c>
      <c r="E76">
        <v>17.873999999999999</v>
      </c>
      <c r="F76">
        <v>23.966000000000001</v>
      </c>
      <c r="G76">
        <v>3.5230000000000001</v>
      </c>
      <c r="H76">
        <v>3.2829999999999999</v>
      </c>
      <c r="I76">
        <v>24.42</v>
      </c>
      <c r="J76">
        <v>29.457999999999998</v>
      </c>
      <c r="K76">
        <v>2.863</v>
      </c>
      <c r="L76">
        <v>3.23</v>
      </c>
      <c r="M76">
        <v>6.4859999999999998</v>
      </c>
      <c r="N76">
        <v>1.5649999999999999</v>
      </c>
      <c r="O76">
        <v>7.0010000000000003</v>
      </c>
      <c r="P76">
        <v>29.491</v>
      </c>
      <c r="Q76">
        <v>17.393000000000001</v>
      </c>
      <c r="R76">
        <v>17.914000000000001</v>
      </c>
      <c r="S76">
        <v>1.83</v>
      </c>
      <c r="T76">
        <v>1.131</v>
      </c>
      <c r="U76">
        <v>5.306</v>
      </c>
      <c r="V76">
        <v>2.5619999999999998</v>
      </c>
      <c r="W76">
        <v>15.303000000000001</v>
      </c>
      <c r="X76">
        <v>43.027999999999999</v>
      </c>
      <c r="Y76">
        <v>5.2539999999999996</v>
      </c>
      <c r="Z76">
        <v>4.9370000000000003</v>
      </c>
      <c r="AB76">
        <v>2.371</v>
      </c>
      <c r="AC76">
        <v>16.577000000000002</v>
      </c>
      <c r="AD76">
        <v>66.698999999999998</v>
      </c>
      <c r="AE76">
        <v>1.5349999999999999</v>
      </c>
      <c r="AF76">
        <v>22.451000000000001</v>
      </c>
      <c r="AG76">
        <v>30.690999999999999</v>
      </c>
      <c r="AH76">
        <v>1.5329999999999999</v>
      </c>
    </row>
    <row r="77" spans="1:34" x14ac:dyDescent="0.25">
      <c r="A77" s="143">
        <v>44670</v>
      </c>
      <c r="B77">
        <v>16.66</v>
      </c>
      <c r="C77">
        <v>12.489000000000001</v>
      </c>
      <c r="D77">
        <v>4.8659999999999997</v>
      </c>
      <c r="E77">
        <v>17.922000000000001</v>
      </c>
      <c r="F77">
        <v>23.931000000000001</v>
      </c>
      <c r="G77">
        <v>3.54</v>
      </c>
      <c r="H77">
        <v>3.2839999999999998</v>
      </c>
      <c r="I77">
        <v>24.425000000000001</v>
      </c>
      <c r="J77">
        <v>29.446999999999999</v>
      </c>
      <c r="K77">
        <v>2.8839999999999999</v>
      </c>
      <c r="L77">
        <v>3.23</v>
      </c>
      <c r="M77">
        <v>6.5289999999999999</v>
      </c>
      <c r="N77">
        <v>1.577</v>
      </c>
      <c r="O77">
        <v>6.9720000000000004</v>
      </c>
      <c r="P77">
        <v>29.577999999999999</v>
      </c>
      <c r="Q77">
        <v>17.471</v>
      </c>
      <c r="R77">
        <v>17.646999999999998</v>
      </c>
      <c r="S77">
        <v>1.823</v>
      </c>
      <c r="T77">
        <v>1.1379999999999999</v>
      </c>
      <c r="U77">
        <v>5.3150000000000004</v>
      </c>
      <c r="V77">
        <v>2.5649999999999999</v>
      </c>
      <c r="W77">
        <v>15.25</v>
      </c>
      <c r="X77">
        <v>43.095999999999997</v>
      </c>
      <c r="Y77">
        <v>5.2460000000000004</v>
      </c>
      <c r="Z77">
        <v>4.9429999999999996</v>
      </c>
      <c r="AB77">
        <v>2.3620000000000001</v>
      </c>
      <c r="AC77">
        <v>16.545999999999999</v>
      </c>
      <c r="AD77">
        <v>66.984999999999999</v>
      </c>
      <c r="AE77">
        <v>1.542</v>
      </c>
      <c r="AF77">
        <v>22.613</v>
      </c>
      <c r="AG77">
        <v>30.882999999999999</v>
      </c>
      <c r="AH77">
        <v>1.5229999999999999</v>
      </c>
    </row>
    <row r="78" spans="1:34" x14ac:dyDescent="0.25">
      <c r="A78" s="143">
        <v>44671</v>
      </c>
      <c r="B78">
        <v>16.745000000000001</v>
      </c>
      <c r="C78">
        <v>12.483000000000001</v>
      </c>
      <c r="D78">
        <v>4.8360000000000003</v>
      </c>
      <c r="E78">
        <v>17.978999999999999</v>
      </c>
      <c r="F78">
        <v>23.81</v>
      </c>
      <c r="G78">
        <v>3.5179999999999998</v>
      </c>
      <c r="H78">
        <v>3.282</v>
      </c>
      <c r="I78">
        <v>24.414999999999999</v>
      </c>
      <c r="J78">
        <v>29.427</v>
      </c>
      <c r="K78">
        <v>2.875</v>
      </c>
      <c r="L78">
        <v>3.2290000000000001</v>
      </c>
      <c r="M78">
        <v>6.5720000000000001</v>
      </c>
      <c r="N78">
        <v>1.57</v>
      </c>
      <c r="O78">
        <v>6.9950000000000001</v>
      </c>
      <c r="P78">
        <v>29.547999999999998</v>
      </c>
      <c r="Q78">
        <v>17.54</v>
      </c>
      <c r="R78">
        <v>17.626999999999999</v>
      </c>
      <c r="S78">
        <v>1.825</v>
      </c>
      <c r="T78">
        <v>1.1279999999999999</v>
      </c>
      <c r="U78">
        <v>5.2649999999999997</v>
      </c>
      <c r="V78">
        <v>2.5569999999999999</v>
      </c>
      <c r="W78">
        <v>15.31</v>
      </c>
      <c r="X78">
        <v>43.027000000000001</v>
      </c>
      <c r="Y78">
        <v>5.2679999999999998</v>
      </c>
      <c r="Z78">
        <v>4.9390000000000001</v>
      </c>
      <c r="AB78">
        <v>2.3860000000000001</v>
      </c>
      <c r="AC78">
        <v>16.52</v>
      </c>
      <c r="AD78">
        <v>66.775000000000006</v>
      </c>
      <c r="AE78">
        <v>1.5369999999999999</v>
      </c>
      <c r="AF78">
        <v>22.545999999999999</v>
      </c>
      <c r="AG78">
        <v>30.741</v>
      </c>
      <c r="AH78">
        <v>1.4970000000000001</v>
      </c>
    </row>
    <row r="79" spans="1:34" x14ac:dyDescent="0.25">
      <c r="A79" s="143">
        <v>44672</v>
      </c>
      <c r="B79">
        <v>16.638999999999999</v>
      </c>
      <c r="C79">
        <v>12.465</v>
      </c>
      <c r="D79">
        <v>4.8449999999999998</v>
      </c>
      <c r="E79">
        <v>17.928000000000001</v>
      </c>
      <c r="F79">
        <v>23.59</v>
      </c>
      <c r="G79">
        <v>3.472</v>
      </c>
      <c r="H79">
        <v>3.2770000000000001</v>
      </c>
      <c r="I79">
        <v>24.38</v>
      </c>
      <c r="J79">
        <v>29.19</v>
      </c>
      <c r="K79">
        <v>2.855</v>
      </c>
      <c r="L79">
        <v>3.2240000000000002</v>
      </c>
      <c r="M79">
        <v>6.5789999999999997</v>
      </c>
      <c r="N79">
        <v>1.5609999999999999</v>
      </c>
      <c r="O79">
        <v>6.9359999999999999</v>
      </c>
      <c r="P79">
        <v>29.385999999999999</v>
      </c>
      <c r="Q79">
        <v>17.54</v>
      </c>
      <c r="R79">
        <v>17.463000000000001</v>
      </c>
      <c r="S79">
        <v>1.8089999999999999</v>
      </c>
      <c r="T79">
        <v>1.1140000000000001</v>
      </c>
      <c r="U79">
        <v>5.2190000000000003</v>
      </c>
      <c r="V79">
        <v>2.5449999999999999</v>
      </c>
      <c r="W79">
        <v>15.189</v>
      </c>
      <c r="X79">
        <v>42.712000000000003</v>
      </c>
      <c r="Y79">
        <v>5.266</v>
      </c>
      <c r="Z79">
        <v>4.93</v>
      </c>
      <c r="AB79">
        <v>2.3769999999999998</v>
      </c>
      <c r="AC79">
        <v>16.45</v>
      </c>
      <c r="AD79">
        <v>66.093000000000004</v>
      </c>
      <c r="AE79">
        <v>1.524</v>
      </c>
      <c r="AF79">
        <v>22.393999999999998</v>
      </c>
      <c r="AG79">
        <v>30.582999999999998</v>
      </c>
      <c r="AH79">
        <v>1.4690000000000001</v>
      </c>
    </row>
    <row r="80" spans="1:34" x14ac:dyDescent="0.25">
      <c r="A80" s="143">
        <v>44673</v>
      </c>
      <c r="B80">
        <v>16.414999999999999</v>
      </c>
      <c r="C80">
        <v>12.435</v>
      </c>
      <c r="D80">
        <v>4.7759999999999998</v>
      </c>
      <c r="E80">
        <v>17.734999999999999</v>
      </c>
      <c r="F80">
        <v>23.527000000000001</v>
      </c>
      <c r="G80">
        <v>3.4590000000000001</v>
      </c>
      <c r="H80">
        <v>3.2690000000000001</v>
      </c>
      <c r="I80">
        <v>24.32</v>
      </c>
      <c r="J80">
        <v>28.978000000000002</v>
      </c>
      <c r="K80">
        <v>2.8660000000000001</v>
      </c>
      <c r="L80">
        <v>3.2160000000000002</v>
      </c>
      <c r="M80">
        <v>6.5670000000000002</v>
      </c>
      <c r="N80">
        <v>1.5660000000000001</v>
      </c>
      <c r="O80">
        <v>6.8920000000000003</v>
      </c>
      <c r="P80">
        <v>29.417000000000002</v>
      </c>
      <c r="Q80">
        <v>17.396000000000001</v>
      </c>
      <c r="R80">
        <v>17.515000000000001</v>
      </c>
      <c r="S80">
        <v>1.81</v>
      </c>
      <c r="T80">
        <v>1.105</v>
      </c>
      <c r="U80">
        <v>5.1989999999999998</v>
      </c>
      <c r="V80">
        <v>2.5270000000000001</v>
      </c>
      <c r="W80">
        <v>15.018000000000001</v>
      </c>
      <c r="X80">
        <v>42.88</v>
      </c>
      <c r="Y80">
        <v>5.2489999999999997</v>
      </c>
      <c r="Z80">
        <v>4.9180000000000001</v>
      </c>
      <c r="AB80">
        <v>2.3660000000000001</v>
      </c>
      <c r="AC80">
        <v>16.452000000000002</v>
      </c>
      <c r="AD80">
        <v>66.228999999999999</v>
      </c>
      <c r="AE80">
        <v>1.5249999999999999</v>
      </c>
      <c r="AF80">
        <v>22.484999999999999</v>
      </c>
      <c r="AG80">
        <v>30.725000000000001</v>
      </c>
      <c r="AH80">
        <v>1.4419999999999999</v>
      </c>
    </row>
    <row r="81" spans="1:34" x14ac:dyDescent="0.25">
      <c r="A81" s="143">
        <v>44676</v>
      </c>
      <c r="B81">
        <v>16.309999999999999</v>
      </c>
      <c r="C81">
        <v>12.486000000000001</v>
      </c>
      <c r="D81">
        <v>4.7009999999999996</v>
      </c>
      <c r="E81">
        <v>17.814</v>
      </c>
      <c r="F81">
        <v>23.783999999999999</v>
      </c>
      <c r="G81">
        <v>3.4689999999999999</v>
      </c>
      <c r="H81">
        <v>3.2829999999999999</v>
      </c>
      <c r="I81">
        <v>24.42</v>
      </c>
      <c r="J81">
        <v>28.956</v>
      </c>
      <c r="K81">
        <v>2.8959999999999999</v>
      </c>
      <c r="L81">
        <v>3.23</v>
      </c>
      <c r="M81">
        <v>6.5279999999999996</v>
      </c>
      <c r="N81">
        <v>1.5720000000000001</v>
      </c>
      <c r="O81">
        <v>6.9160000000000004</v>
      </c>
      <c r="P81">
        <v>29.664000000000001</v>
      </c>
      <c r="Q81">
        <v>17.542999999999999</v>
      </c>
      <c r="R81">
        <v>17.728999999999999</v>
      </c>
      <c r="S81">
        <v>1.8140000000000001</v>
      </c>
      <c r="T81">
        <v>1.115</v>
      </c>
      <c r="U81">
        <v>5.2160000000000002</v>
      </c>
      <c r="V81">
        <v>2.5169999999999999</v>
      </c>
      <c r="W81">
        <v>15.037000000000001</v>
      </c>
      <c r="X81">
        <v>43.406999999999996</v>
      </c>
      <c r="Y81">
        <v>5.2640000000000002</v>
      </c>
      <c r="Z81">
        <v>4.9379999999999997</v>
      </c>
      <c r="AB81">
        <v>2.36</v>
      </c>
      <c r="AC81">
        <v>16.547999999999998</v>
      </c>
      <c r="AD81">
        <v>66.828000000000003</v>
      </c>
      <c r="AE81">
        <v>1.5389999999999999</v>
      </c>
      <c r="AF81">
        <v>22.725000000000001</v>
      </c>
      <c r="AG81">
        <v>30.908000000000001</v>
      </c>
      <c r="AH81">
        <v>1.4490000000000001</v>
      </c>
    </row>
    <row r="82" spans="1:34" x14ac:dyDescent="0.25">
      <c r="A82" s="143">
        <v>44677</v>
      </c>
      <c r="B82">
        <v>16.468</v>
      </c>
      <c r="C82">
        <v>12.489000000000001</v>
      </c>
      <c r="D82">
        <v>4.6539999999999999</v>
      </c>
      <c r="E82">
        <v>17.942</v>
      </c>
      <c r="F82">
        <v>23.885000000000002</v>
      </c>
      <c r="G82">
        <v>3.4990000000000001</v>
      </c>
      <c r="H82">
        <v>3.2829999999999999</v>
      </c>
      <c r="I82">
        <v>24.425000000000001</v>
      </c>
      <c r="J82">
        <v>29.033999999999999</v>
      </c>
      <c r="K82">
        <v>2.9169999999999998</v>
      </c>
      <c r="L82">
        <v>3.23</v>
      </c>
      <c r="M82">
        <v>6.524</v>
      </c>
      <c r="N82">
        <v>1.5880000000000001</v>
      </c>
      <c r="O82">
        <v>6.9509999999999996</v>
      </c>
      <c r="P82">
        <v>29.885999999999999</v>
      </c>
      <c r="Q82">
        <v>17.648</v>
      </c>
      <c r="R82">
        <v>17.942</v>
      </c>
      <c r="S82">
        <v>1.823</v>
      </c>
      <c r="T82">
        <v>1.1279999999999999</v>
      </c>
      <c r="U82">
        <v>5.2549999999999999</v>
      </c>
      <c r="V82">
        <v>2.4940000000000002</v>
      </c>
      <c r="W82">
        <v>15.17</v>
      </c>
      <c r="X82">
        <v>43.868000000000002</v>
      </c>
      <c r="Y82">
        <v>5.2569999999999997</v>
      </c>
      <c r="Z82">
        <v>4.9390000000000001</v>
      </c>
      <c r="AB82">
        <v>2.35</v>
      </c>
      <c r="AC82">
        <v>16.655000000000001</v>
      </c>
      <c r="AD82">
        <v>66.745999999999995</v>
      </c>
      <c r="AE82">
        <v>1.5469999999999999</v>
      </c>
      <c r="AF82">
        <v>22.884</v>
      </c>
      <c r="AG82">
        <v>30.97</v>
      </c>
      <c r="AH82">
        <v>1.456</v>
      </c>
    </row>
    <row r="83" spans="1:34" x14ac:dyDescent="0.25">
      <c r="A83" s="143">
        <v>44678</v>
      </c>
      <c r="B83">
        <v>16.556999999999999</v>
      </c>
      <c r="C83">
        <v>12.552</v>
      </c>
      <c r="D83">
        <v>4.633</v>
      </c>
      <c r="E83">
        <v>18.093</v>
      </c>
      <c r="F83">
        <v>23.998000000000001</v>
      </c>
      <c r="G83">
        <v>3.5390000000000001</v>
      </c>
      <c r="H83">
        <v>3.2989999999999999</v>
      </c>
      <c r="I83">
        <v>24.55</v>
      </c>
      <c r="J83">
        <v>29.148</v>
      </c>
      <c r="K83">
        <v>2.956</v>
      </c>
      <c r="L83">
        <v>3.2450000000000001</v>
      </c>
      <c r="M83">
        <v>6.4649999999999999</v>
      </c>
      <c r="N83">
        <v>1.6080000000000001</v>
      </c>
      <c r="O83">
        <v>6.98</v>
      </c>
      <c r="P83">
        <v>30.277999999999999</v>
      </c>
      <c r="Q83">
        <v>17.763999999999999</v>
      </c>
      <c r="R83">
        <v>18.106999999999999</v>
      </c>
      <c r="S83">
        <v>1.829</v>
      </c>
      <c r="T83">
        <v>1.135</v>
      </c>
      <c r="U83">
        <v>5.32</v>
      </c>
      <c r="V83">
        <v>2.5099999999999998</v>
      </c>
      <c r="W83">
        <v>15.233000000000001</v>
      </c>
      <c r="X83">
        <v>44.472999999999999</v>
      </c>
      <c r="Y83">
        <v>5.2190000000000003</v>
      </c>
      <c r="Z83">
        <v>4.9610000000000003</v>
      </c>
      <c r="AB83">
        <v>2.36</v>
      </c>
      <c r="AC83">
        <v>16.811</v>
      </c>
      <c r="AD83">
        <v>67.622</v>
      </c>
      <c r="AE83">
        <v>1.5649999999999999</v>
      </c>
      <c r="AF83">
        <v>23.193999999999999</v>
      </c>
      <c r="AG83">
        <v>31.39</v>
      </c>
      <c r="AH83">
        <v>1.4570000000000001</v>
      </c>
    </row>
    <row r="84" spans="1:34" x14ac:dyDescent="0.25">
      <c r="A84" s="143">
        <v>44679</v>
      </c>
      <c r="B84">
        <v>16.558</v>
      </c>
      <c r="C84">
        <v>12.541</v>
      </c>
      <c r="D84">
        <v>4.6779999999999999</v>
      </c>
      <c r="E84">
        <v>18.170000000000002</v>
      </c>
      <c r="F84">
        <v>24.01</v>
      </c>
      <c r="G84">
        <v>3.536</v>
      </c>
      <c r="H84">
        <v>3.2959999999999998</v>
      </c>
      <c r="I84">
        <v>24.53</v>
      </c>
      <c r="J84">
        <v>29.082000000000001</v>
      </c>
      <c r="K84">
        <v>2.9809999999999999</v>
      </c>
      <c r="L84">
        <v>3.2410000000000001</v>
      </c>
      <c r="M84">
        <v>6.5069999999999997</v>
      </c>
      <c r="N84">
        <v>1.6140000000000001</v>
      </c>
      <c r="O84">
        <v>6.992</v>
      </c>
      <c r="P84">
        <v>30.52</v>
      </c>
      <c r="Q84">
        <v>17.800999999999998</v>
      </c>
      <c r="R84">
        <v>17.888999999999999</v>
      </c>
      <c r="S84">
        <v>1.833</v>
      </c>
      <c r="T84">
        <v>1.143</v>
      </c>
      <c r="U84">
        <v>5.3620000000000001</v>
      </c>
      <c r="V84">
        <v>2.4780000000000002</v>
      </c>
      <c r="W84">
        <v>15.122</v>
      </c>
      <c r="X84">
        <v>44.722000000000001</v>
      </c>
      <c r="Y84">
        <v>5.2309999999999999</v>
      </c>
      <c r="Z84">
        <v>4.9569999999999999</v>
      </c>
      <c r="AB84">
        <v>2.3679999999999999</v>
      </c>
      <c r="AC84">
        <v>16.852</v>
      </c>
      <c r="AD84">
        <v>67.852999999999994</v>
      </c>
      <c r="AE84">
        <v>1.579</v>
      </c>
      <c r="AF84">
        <v>23.393000000000001</v>
      </c>
      <c r="AG84">
        <v>31.55</v>
      </c>
      <c r="AH84">
        <v>1.4650000000000001</v>
      </c>
    </row>
    <row r="85" spans="1:34" x14ac:dyDescent="0.25">
      <c r="A85" s="143">
        <v>44680</v>
      </c>
      <c r="B85">
        <v>16.739999999999998</v>
      </c>
      <c r="C85">
        <v>12.58</v>
      </c>
      <c r="D85">
        <v>4.7649999999999997</v>
      </c>
      <c r="E85">
        <v>18.324999999999999</v>
      </c>
      <c r="F85">
        <v>24.053999999999998</v>
      </c>
      <c r="G85">
        <v>3.544</v>
      </c>
      <c r="H85">
        <v>3.3069999999999999</v>
      </c>
      <c r="I85">
        <v>24.605</v>
      </c>
      <c r="J85">
        <v>29.321999999999999</v>
      </c>
      <c r="K85">
        <v>2.9750000000000001</v>
      </c>
      <c r="L85">
        <v>3.2509999999999999</v>
      </c>
      <c r="M85">
        <v>6.4960000000000004</v>
      </c>
      <c r="N85">
        <v>1.61</v>
      </c>
      <c r="O85">
        <v>7.03</v>
      </c>
      <c r="P85">
        <v>30.513000000000002</v>
      </c>
      <c r="Q85">
        <v>17.856000000000002</v>
      </c>
      <c r="R85">
        <v>17.957999999999998</v>
      </c>
      <c r="S85">
        <v>1.855</v>
      </c>
      <c r="T85">
        <v>1.149</v>
      </c>
      <c r="U85">
        <v>5.3620000000000001</v>
      </c>
      <c r="V85">
        <v>2.5230000000000001</v>
      </c>
      <c r="W85">
        <v>15.265000000000001</v>
      </c>
      <c r="X85">
        <v>44.573999999999998</v>
      </c>
      <c r="Y85">
        <v>5.2590000000000003</v>
      </c>
      <c r="Z85">
        <v>4.9720000000000004</v>
      </c>
      <c r="AB85">
        <v>2.39</v>
      </c>
      <c r="AC85">
        <v>16.914999999999999</v>
      </c>
      <c r="AD85">
        <v>68.272999999999996</v>
      </c>
      <c r="AE85">
        <v>1.573</v>
      </c>
      <c r="AF85">
        <v>23.344000000000001</v>
      </c>
      <c r="AG85">
        <v>31.28</v>
      </c>
      <c r="AH85">
        <v>1.478</v>
      </c>
    </row>
    <row r="86" spans="1:34" x14ac:dyDescent="0.25">
      <c r="A86" s="143">
        <v>44683</v>
      </c>
      <c r="B86">
        <v>16.547999999999998</v>
      </c>
      <c r="C86">
        <v>12.613</v>
      </c>
      <c r="D86">
        <v>4.702</v>
      </c>
      <c r="E86">
        <v>18.193999999999999</v>
      </c>
      <c r="F86">
        <v>24.06</v>
      </c>
      <c r="G86">
        <v>3.548</v>
      </c>
      <c r="H86">
        <v>3.3159999999999998</v>
      </c>
      <c r="I86">
        <v>24.67</v>
      </c>
      <c r="J86">
        <v>29.439</v>
      </c>
      <c r="K86">
        <v>2.988</v>
      </c>
      <c r="L86">
        <v>3.2629999999999999</v>
      </c>
      <c r="M86">
        <v>6.5170000000000003</v>
      </c>
      <c r="N86">
        <v>1.617</v>
      </c>
      <c r="O86">
        <v>6.9930000000000003</v>
      </c>
      <c r="P86">
        <v>30.646999999999998</v>
      </c>
      <c r="Q86">
        <v>17.981000000000002</v>
      </c>
      <c r="R86">
        <v>18.056999999999999</v>
      </c>
      <c r="S86">
        <v>1.85</v>
      </c>
      <c r="T86">
        <v>1.1479999999999999</v>
      </c>
      <c r="U86">
        <v>5.3849999999999998</v>
      </c>
      <c r="V86">
        <v>2.4849999999999999</v>
      </c>
      <c r="W86">
        <v>15.081</v>
      </c>
      <c r="X86">
        <v>44.670999999999999</v>
      </c>
      <c r="Y86">
        <v>5.266</v>
      </c>
      <c r="Z86">
        <v>4.9870000000000001</v>
      </c>
      <c r="AB86">
        <v>2.371</v>
      </c>
      <c r="AC86">
        <v>16.916</v>
      </c>
      <c r="AD86">
        <v>68.135999999999996</v>
      </c>
      <c r="AE86">
        <v>1.5740000000000001</v>
      </c>
      <c r="AF86">
        <v>23.443000000000001</v>
      </c>
      <c r="AG86">
        <v>31.513999999999999</v>
      </c>
      <c r="AH86">
        <v>1.474</v>
      </c>
    </row>
    <row r="87" spans="1:34" x14ac:dyDescent="0.25">
      <c r="A87" s="143">
        <v>44684</v>
      </c>
      <c r="B87">
        <v>16.637</v>
      </c>
      <c r="C87">
        <v>12.606999999999999</v>
      </c>
      <c r="D87">
        <v>4.6440000000000001</v>
      </c>
      <c r="E87">
        <v>18.173999999999999</v>
      </c>
      <c r="F87">
        <v>24.001999999999999</v>
      </c>
      <c r="G87">
        <v>3.5350000000000001</v>
      </c>
      <c r="H87">
        <v>3.3140000000000001</v>
      </c>
      <c r="I87">
        <v>24.66</v>
      </c>
      <c r="J87">
        <v>29.309000000000001</v>
      </c>
      <c r="K87">
        <v>2.976</v>
      </c>
      <c r="L87">
        <v>3.2650000000000001</v>
      </c>
      <c r="M87">
        <v>6.452</v>
      </c>
      <c r="N87">
        <v>1.611</v>
      </c>
      <c r="O87">
        <v>6.9249999999999998</v>
      </c>
      <c r="P87">
        <v>30.506</v>
      </c>
      <c r="Q87">
        <v>17.922000000000001</v>
      </c>
      <c r="R87">
        <v>17.986999999999998</v>
      </c>
      <c r="S87">
        <v>1.8460000000000001</v>
      </c>
      <c r="T87">
        <v>1.147</v>
      </c>
      <c r="U87">
        <v>5.3650000000000002</v>
      </c>
      <c r="V87">
        <v>2.4889999999999999</v>
      </c>
      <c r="W87">
        <v>15.073</v>
      </c>
      <c r="X87">
        <v>44.460999999999999</v>
      </c>
      <c r="Y87">
        <v>5.2549999999999999</v>
      </c>
      <c r="Z87">
        <v>4.984</v>
      </c>
      <c r="AB87">
        <v>2.3719999999999999</v>
      </c>
      <c r="AC87">
        <v>16.882000000000001</v>
      </c>
      <c r="AD87">
        <v>67.763999999999996</v>
      </c>
      <c r="AE87">
        <v>1.571</v>
      </c>
      <c r="AF87">
        <v>23.356999999999999</v>
      </c>
      <c r="AG87">
        <v>31.338000000000001</v>
      </c>
      <c r="AH87">
        <v>1.4650000000000001</v>
      </c>
    </row>
    <row r="88" spans="1:34" x14ac:dyDescent="0.25">
      <c r="A88" s="143">
        <v>44685</v>
      </c>
      <c r="B88">
        <v>16.681999999999999</v>
      </c>
      <c r="C88">
        <v>12.598000000000001</v>
      </c>
      <c r="D88">
        <v>4.7039999999999997</v>
      </c>
      <c r="E88">
        <v>18.259</v>
      </c>
      <c r="F88">
        <v>23.872</v>
      </c>
      <c r="G88">
        <v>3.5409999999999999</v>
      </c>
      <c r="H88">
        <v>3.3109999999999999</v>
      </c>
      <c r="I88">
        <v>24.64</v>
      </c>
      <c r="J88">
        <v>29.274999999999999</v>
      </c>
      <c r="K88">
        <v>2.9820000000000002</v>
      </c>
      <c r="L88">
        <v>3.2639999999999998</v>
      </c>
      <c r="M88">
        <v>6.5279999999999996</v>
      </c>
      <c r="N88">
        <v>1.6140000000000001</v>
      </c>
      <c r="O88">
        <v>6.944</v>
      </c>
      <c r="P88">
        <v>30.649000000000001</v>
      </c>
      <c r="Q88">
        <v>17.959</v>
      </c>
      <c r="R88">
        <v>18.013000000000002</v>
      </c>
      <c r="S88">
        <v>1.851</v>
      </c>
      <c r="T88">
        <v>1.1579999999999999</v>
      </c>
      <c r="U88">
        <v>5.375</v>
      </c>
      <c r="V88">
        <v>2.4860000000000002</v>
      </c>
      <c r="W88">
        <v>15.09</v>
      </c>
      <c r="X88">
        <v>44.597000000000001</v>
      </c>
      <c r="Y88">
        <v>5.2560000000000002</v>
      </c>
      <c r="Z88">
        <v>4.9809999999999999</v>
      </c>
      <c r="AB88">
        <v>2.3690000000000002</v>
      </c>
      <c r="AC88">
        <v>16.927</v>
      </c>
      <c r="AD88">
        <v>68.212000000000003</v>
      </c>
      <c r="AE88">
        <v>1.58</v>
      </c>
      <c r="AF88">
        <v>23.402000000000001</v>
      </c>
      <c r="AG88">
        <v>31.353000000000002</v>
      </c>
      <c r="AH88">
        <v>1.4790000000000001</v>
      </c>
    </row>
    <row r="89" spans="1:34" x14ac:dyDescent="0.25">
      <c r="A89" s="143">
        <v>44686</v>
      </c>
      <c r="B89">
        <v>16.771000000000001</v>
      </c>
      <c r="C89">
        <v>12.58</v>
      </c>
      <c r="D89">
        <v>4.7130000000000001</v>
      </c>
      <c r="E89">
        <v>18.251000000000001</v>
      </c>
      <c r="F89">
        <v>23.757000000000001</v>
      </c>
      <c r="G89">
        <v>3.5190000000000001</v>
      </c>
      <c r="H89">
        <v>3.3069999999999999</v>
      </c>
      <c r="I89">
        <v>24.605</v>
      </c>
      <c r="J89">
        <v>28.888999999999999</v>
      </c>
      <c r="K89">
        <v>2.9670000000000001</v>
      </c>
      <c r="L89">
        <v>3.2629999999999999</v>
      </c>
      <c r="M89">
        <v>6.4980000000000002</v>
      </c>
      <c r="N89">
        <v>1.6060000000000001</v>
      </c>
      <c r="O89">
        <v>6.8520000000000003</v>
      </c>
      <c r="P89">
        <v>30.524999999999999</v>
      </c>
      <c r="Q89">
        <v>17.829999999999998</v>
      </c>
      <c r="R89">
        <v>17.936</v>
      </c>
      <c r="S89">
        <v>1.849</v>
      </c>
      <c r="T89">
        <v>1.1599999999999999</v>
      </c>
      <c r="U89">
        <v>5.3550000000000004</v>
      </c>
      <c r="V89">
        <v>2.4990000000000001</v>
      </c>
      <c r="W89">
        <v>15.12</v>
      </c>
      <c r="X89">
        <v>44.451000000000001</v>
      </c>
      <c r="Y89">
        <v>5.2720000000000002</v>
      </c>
      <c r="Z89">
        <v>4.9720000000000004</v>
      </c>
      <c r="AB89">
        <v>2.3719999999999999</v>
      </c>
      <c r="AC89">
        <v>16.899999999999999</v>
      </c>
      <c r="AD89">
        <v>68.37</v>
      </c>
      <c r="AE89">
        <v>1.5669999999999999</v>
      </c>
      <c r="AF89">
        <v>23.286999999999999</v>
      </c>
      <c r="AG89">
        <v>31.241</v>
      </c>
      <c r="AH89">
        <v>1.4830000000000001</v>
      </c>
    </row>
    <row r="90" spans="1:34" x14ac:dyDescent="0.25">
      <c r="A90" s="143">
        <v>44687</v>
      </c>
      <c r="B90">
        <v>16.565999999999999</v>
      </c>
      <c r="C90">
        <v>12.612</v>
      </c>
      <c r="D90">
        <v>4.641</v>
      </c>
      <c r="E90">
        <v>18.189</v>
      </c>
      <c r="F90">
        <v>23.672999999999998</v>
      </c>
      <c r="G90">
        <v>3.5009999999999999</v>
      </c>
      <c r="H90">
        <v>3.3149999999999999</v>
      </c>
      <c r="I90">
        <v>24.664999999999999</v>
      </c>
      <c r="J90">
        <v>28.806999999999999</v>
      </c>
      <c r="K90">
        <v>2.9729999999999999</v>
      </c>
      <c r="L90">
        <v>3.274</v>
      </c>
      <c r="M90">
        <v>6.4669999999999996</v>
      </c>
      <c r="N90">
        <v>1.61</v>
      </c>
      <c r="O90">
        <v>6.8579999999999997</v>
      </c>
      <c r="P90">
        <v>30.34</v>
      </c>
      <c r="Q90">
        <v>17.834</v>
      </c>
      <c r="R90">
        <v>17.888000000000002</v>
      </c>
      <c r="S90">
        <v>1.835</v>
      </c>
      <c r="T90">
        <v>1.155</v>
      </c>
      <c r="U90">
        <v>5.34</v>
      </c>
      <c r="V90">
        <v>2.4710000000000001</v>
      </c>
      <c r="W90">
        <v>15.002000000000001</v>
      </c>
      <c r="X90">
        <v>44.47</v>
      </c>
      <c r="Y90">
        <v>5.2450000000000001</v>
      </c>
      <c r="Z90">
        <v>4.9829999999999997</v>
      </c>
      <c r="AB90">
        <v>2.3559999999999999</v>
      </c>
      <c r="AC90">
        <v>16.847000000000001</v>
      </c>
      <c r="AD90">
        <v>67.945999999999998</v>
      </c>
      <c r="AE90">
        <v>1.5609999999999999</v>
      </c>
      <c r="AF90">
        <v>23.335999999999999</v>
      </c>
      <c r="AG90">
        <v>31.388999999999999</v>
      </c>
      <c r="AH90">
        <v>1.454</v>
      </c>
    </row>
    <row r="91" spans="1:34" x14ac:dyDescent="0.25">
      <c r="A91" s="143">
        <v>44690</v>
      </c>
      <c r="B91">
        <v>16.651</v>
      </c>
      <c r="C91">
        <v>12.808999999999999</v>
      </c>
      <c r="D91">
        <v>4.6100000000000003</v>
      </c>
      <c r="E91">
        <v>18.347000000000001</v>
      </c>
      <c r="F91">
        <v>23.942</v>
      </c>
      <c r="G91">
        <v>3.5369999999999999</v>
      </c>
      <c r="H91">
        <v>3.3679999999999999</v>
      </c>
      <c r="I91">
        <v>25.05</v>
      </c>
      <c r="J91">
        <v>29.391999999999999</v>
      </c>
      <c r="K91">
        <v>3.0219999999999998</v>
      </c>
      <c r="L91">
        <v>3.3250000000000002</v>
      </c>
      <c r="M91">
        <v>6.5369999999999999</v>
      </c>
      <c r="N91">
        <v>1.63</v>
      </c>
      <c r="O91">
        <v>6.9119999999999999</v>
      </c>
      <c r="P91">
        <v>30.646000000000001</v>
      </c>
      <c r="Q91">
        <v>17.957000000000001</v>
      </c>
      <c r="R91">
        <v>18.14</v>
      </c>
      <c r="S91">
        <v>1.8620000000000001</v>
      </c>
      <c r="T91">
        <v>1.169</v>
      </c>
      <c r="U91">
        <v>5.4130000000000003</v>
      </c>
      <c r="V91">
        <v>2.4889999999999999</v>
      </c>
      <c r="W91">
        <v>15.109</v>
      </c>
      <c r="X91">
        <v>45.000999999999998</v>
      </c>
      <c r="Y91">
        <v>5.3319999999999999</v>
      </c>
      <c r="Z91">
        <v>5.0640000000000001</v>
      </c>
      <c r="AB91">
        <v>2.367</v>
      </c>
      <c r="AC91">
        <v>17.071000000000002</v>
      </c>
      <c r="AD91">
        <v>68.656000000000006</v>
      </c>
      <c r="AE91">
        <v>1.5760000000000001</v>
      </c>
      <c r="AF91">
        <v>23.725999999999999</v>
      </c>
      <c r="AG91">
        <v>31.824000000000002</v>
      </c>
      <c r="AH91">
        <v>1.462</v>
      </c>
    </row>
    <row r="92" spans="1:34" x14ac:dyDescent="0.25">
      <c r="A92" s="143">
        <v>44691</v>
      </c>
      <c r="B92">
        <v>16.495999999999999</v>
      </c>
      <c r="C92">
        <v>12.787000000000001</v>
      </c>
      <c r="D92">
        <v>4.6130000000000004</v>
      </c>
      <c r="E92">
        <v>18.245000000000001</v>
      </c>
      <c r="F92">
        <v>23.861999999999998</v>
      </c>
      <c r="G92">
        <v>3.5259999999999998</v>
      </c>
      <c r="H92">
        <v>3.3620000000000001</v>
      </c>
      <c r="I92">
        <v>25.01</v>
      </c>
      <c r="J92">
        <v>29.22</v>
      </c>
      <c r="K92">
        <v>3.0190000000000001</v>
      </c>
      <c r="L92">
        <v>3.319</v>
      </c>
      <c r="M92">
        <v>6.5789999999999997</v>
      </c>
      <c r="N92">
        <v>1.6279999999999999</v>
      </c>
      <c r="O92">
        <v>6.8360000000000003</v>
      </c>
      <c r="P92">
        <v>30.673999999999999</v>
      </c>
      <c r="Q92">
        <v>17.928000000000001</v>
      </c>
      <c r="R92">
        <v>18.207999999999998</v>
      </c>
      <c r="S92">
        <v>1.8580000000000001</v>
      </c>
      <c r="T92">
        <v>1.1639999999999999</v>
      </c>
      <c r="U92">
        <v>5.4080000000000004</v>
      </c>
      <c r="V92">
        <v>2.444</v>
      </c>
      <c r="W92">
        <v>14.97</v>
      </c>
      <c r="X92">
        <v>45.234999999999999</v>
      </c>
      <c r="Y92">
        <v>5.3479999999999999</v>
      </c>
      <c r="Z92">
        <v>5.0579999999999998</v>
      </c>
      <c r="AB92">
        <v>2.3580000000000001</v>
      </c>
      <c r="AC92">
        <v>17.050999999999998</v>
      </c>
      <c r="AD92">
        <v>68.623000000000005</v>
      </c>
      <c r="AE92">
        <v>1.5549999999999999</v>
      </c>
      <c r="AF92">
        <v>23.696999999999999</v>
      </c>
      <c r="AG92">
        <v>31.693999999999999</v>
      </c>
      <c r="AH92">
        <v>1.4690000000000001</v>
      </c>
    </row>
    <row r="93" spans="1:34" x14ac:dyDescent="0.25">
      <c r="A93" s="143">
        <v>44692</v>
      </c>
      <c r="B93">
        <v>16.846</v>
      </c>
      <c r="C93">
        <v>12.968</v>
      </c>
      <c r="D93">
        <v>4.7089999999999996</v>
      </c>
      <c r="E93">
        <v>18.532</v>
      </c>
      <c r="F93">
        <v>24.276</v>
      </c>
      <c r="G93">
        <v>3.58</v>
      </c>
      <c r="H93">
        <v>3.41</v>
      </c>
      <c r="I93">
        <v>25.364999999999998</v>
      </c>
      <c r="J93">
        <v>29.702000000000002</v>
      </c>
      <c r="K93">
        <v>3.0619999999999998</v>
      </c>
      <c r="L93">
        <v>3.3650000000000002</v>
      </c>
      <c r="M93">
        <v>6.6909999999999998</v>
      </c>
      <c r="N93">
        <v>1.651</v>
      </c>
      <c r="O93">
        <v>7.0179999999999998</v>
      </c>
      <c r="P93">
        <v>31.122</v>
      </c>
      <c r="Q93">
        <v>18.209</v>
      </c>
      <c r="R93">
        <v>18.504000000000001</v>
      </c>
      <c r="S93">
        <v>1.887</v>
      </c>
      <c r="T93">
        <v>1.1859999999999999</v>
      </c>
      <c r="U93">
        <v>5.4909999999999997</v>
      </c>
      <c r="V93">
        <v>2.4910000000000001</v>
      </c>
      <c r="W93">
        <v>15.237</v>
      </c>
      <c r="X93">
        <v>46.121000000000002</v>
      </c>
      <c r="Y93">
        <v>5.4470000000000001</v>
      </c>
      <c r="Z93">
        <v>5.1269999999999998</v>
      </c>
      <c r="AB93">
        <v>2.41</v>
      </c>
      <c r="AC93">
        <v>17.344999999999999</v>
      </c>
      <c r="AD93">
        <v>69.501000000000005</v>
      </c>
      <c r="AE93">
        <v>1.5669999999999999</v>
      </c>
      <c r="AF93">
        <v>24.033999999999999</v>
      </c>
      <c r="AG93">
        <v>32.179000000000002</v>
      </c>
      <c r="AH93">
        <v>1.498</v>
      </c>
    </row>
    <row r="94" spans="1:34" x14ac:dyDescent="0.25">
      <c r="A94" s="143">
        <v>44693</v>
      </c>
      <c r="B94">
        <v>16.443000000000001</v>
      </c>
      <c r="C94">
        <v>12.744999999999999</v>
      </c>
      <c r="D94">
        <v>4.6040000000000001</v>
      </c>
      <c r="E94">
        <v>18.373000000000001</v>
      </c>
      <c r="F94">
        <v>24.021999999999998</v>
      </c>
      <c r="G94">
        <v>3.5270000000000001</v>
      </c>
      <c r="H94">
        <v>3.35</v>
      </c>
      <c r="I94">
        <v>24.925000000000001</v>
      </c>
      <c r="J94">
        <v>29.227</v>
      </c>
      <c r="K94">
        <v>3.0510000000000002</v>
      </c>
      <c r="L94">
        <v>3.3130000000000002</v>
      </c>
      <c r="M94">
        <v>6.5209999999999999</v>
      </c>
      <c r="N94">
        <v>1.641</v>
      </c>
      <c r="O94">
        <v>6.9290000000000003</v>
      </c>
      <c r="P94">
        <v>30.913</v>
      </c>
      <c r="Q94">
        <v>17.841999999999999</v>
      </c>
      <c r="R94">
        <v>18.623000000000001</v>
      </c>
      <c r="S94">
        <v>1.855</v>
      </c>
      <c r="T94">
        <v>1.1719999999999999</v>
      </c>
      <c r="U94">
        <v>5.452</v>
      </c>
      <c r="V94">
        <v>2.4220000000000002</v>
      </c>
      <c r="W94">
        <v>14.933</v>
      </c>
      <c r="X94">
        <v>45.667999999999999</v>
      </c>
      <c r="Y94">
        <v>5.34</v>
      </c>
      <c r="Z94">
        <v>5.0389999999999997</v>
      </c>
      <c r="AB94">
        <v>2.359</v>
      </c>
      <c r="AC94">
        <v>17.158999999999999</v>
      </c>
      <c r="AD94">
        <v>68.960999999999999</v>
      </c>
      <c r="AE94">
        <v>1.5569999999999999</v>
      </c>
      <c r="AF94">
        <v>23.952999999999999</v>
      </c>
      <c r="AG94">
        <v>32.072000000000003</v>
      </c>
      <c r="AH94">
        <v>1.4770000000000001</v>
      </c>
    </row>
    <row r="95" spans="1:34" x14ac:dyDescent="0.25">
      <c r="A95" s="143">
        <v>44694</v>
      </c>
      <c r="B95">
        <v>16.420000000000002</v>
      </c>
      <c r="C95">
        <v>12.648999999999999</v>
      </c>
      <c r="D95">
        <v>4.6470000000000002</v>
      </c>
      <c r="E95">
        <v>18.318999999999999</v>
      </c>
      <c r="F95">
        <v>23.823</v>
      </c>
      <c r="G95">
        <v>3.51</v>
      </c>
      <c r="H95">
        <v>3.3250000000000002</v>
      </c>
      <c r="I95">
        <v>24.74</v>
      </c>
      <c r="J95">
        <v>29.064</v>
      </c>
      <c r="K95">
        <v>3.0350000000000001</v>
      </c>
      <c r="L95">
        <v>3.2890000000000001</v>
      </c>
      <c r="M95">
        <v>6.4249999999999998</v>
      </c>
      <c r="N95">
        <v>1.63</v>
      </c>
      <c r="O95">
        <v>6.9530000000000003</v>
      </c>
      <c r="P95">
        <v>30.757000000000001</v>
      </c>
      <c r="Q95">
        <v>17.658999999999999</v>
      </c>
      <c r="R95">
        <v>18.475999999999999</v>
      </c>
      <c r="S95">
        <v>1.859</v>
      </c>
      <c r="T95">
        <v>1.179</v>
      </c>
      <c r="U95">
        <v>5.4169999999999998</v>
      </c>
      <c r="V95">
        <v>2.4239999999999999</v>
      </c>
      <c r="W95">
        <v>14.87</v>
      </c>
      <c r="X95">
        <v>45.442</v>
      </c>
      <c r="Y95">
        <v>5.2770000000000001</v>
      </c>
      <c r="Z95">
        <v>5.0019999999999998</v>
      </c>
      <c r="AB95">
        <v>2.3580000000000001</v>
      </c>
      <c r="AC95">
        <v>17.062999999999999</v>
      </c>
      <c r="AD95">
        <v>68.542000000000002</v>
      </c>
      <c r="AE95">
        <v>1.54</v>
      </c>
      <c r="AF95">
        <v>23.824999999999999</v>
      </c>
      <c r="AG95">
        <v>31.757999999999999</v>
      </c>
      <c r="AH95">
        <v>1.4750000000000001</v>
      </c>
    </row>
    <row r="96" spans="1:34" x14ac:dyDescent="0.25">
      <c r="A96" s="143">
        <v>44697</v>
      </c>
      <c r="B96">
        <v>16.411000000000001</v>
      </c>
      <c r="C96">
        <v>12.634</v>
      </c>
      <c r="D96">
        <v>4.68</v>
      </c>
      <c r="E96">
        <v>18.341000000000001</v>
      </c>
      <c r="F96">
        <v>23.58</v>
      </c>
      <c r="G96">
        <v>3.4929999999999999</v>
      </c>
      <c r="H96">
        <v>3.32</v>
      </c>
      <c r="I96">
        <v>24.71</v>
      </c>
      <c r="J96">
        <v>29.056000000000001</v>
      </c>
      <c r="K96">
        <v>3.02</v>
      </c>
      <c r="L96">
        <v>3.2850000000000001</v>
      </c>
      <c r="M96">
        <v>6.4029999999999996</v>
      </c>
      <c r="N96">
        <v>1.623</v>
      </c>
      <c r="O96">
        <v>6.9640000000000004</v>
      </c>
      <c r="P96">
        <v>30.475999999999999</v>
      </c>
      <c r="Q96">
        <v>17.867000000000001</v>
      </c>
      <c r="R96">
        <v>18.302</v>
      </c>
      <c r="S96">
        <v>1.847</v>
      </c>
      <c r="T96">
        <v>1.18</v>
      </c>
      <c r="U96">
        <v>5.391</v>
      </c>
      <c r="V96">
        <v>2.4180000000000001</v>
      </c>
      <c r="W96">
        <v>14.885999999999999</v>
      </c>
      <c r="X96">
        <v>45.168999999999997</v>
      </c>
      <c r="Y96">
        <v>5.2939999999999996</v>
      </c>
      <c r="Z96">
        <v>4.9950000000000001</v>
      </c>
      <c r="AB96">
        <v>2.3540000000000001</v>
      </c>
      <c r="AC96">
        <v>17.004999999999999</v>
      </c>
      <c r="AD96">
        <v>68.116</v>
      </c>
      <c r="AE96">
        <v>1.514</v>
      </c>
      <c r="AF96">
        <v>23.709</v>
      </c>
      <c r="AG96">
        <v>31.552</v>
      </c>
      <c r="AH96">
        <v>1.46</v>
      </c>
    </row>
    <row r="97" spans="1:34" x14ac:dyDescent="0.25">
      <c r="A97" s="143">
        <v>44698</v>
      </c>
      <c r="B97">
        <v>16.486999999999998</v>
      </c>
      <c r="C97">
        <v>12.634</v>
      </c>
      <c r="D97">
        <v>4.6970000000000001</v>
      </c>
      <c r="E97">
        <v>18.285</v>
      </c>
      <c r="F97">
        <v>23.634</v>
      </c>
      <c r="G97">
        <v>3.4889999999999999</v>
      </c>
      <c r="H97">
        <v>3.3210000000000002</v>
      </c>
      <c r="I97">
        <v>24.71</v>
      </c>
      <c r="J97">
        <v>29.283000000000001</v>
      </c>
      <c r="K97">
        <v>2.988</v>
      </c>
      <c r="L97">
        <v>3.2839999999999998</v>
      </c>
      <c r="M97">
        <v>6.3929999999999998</v>
      </c>
      <c r="N97">
        <v>1.601</v>
      </c>
      <c r="O97">
        <v>6.9859999999999998</v>
      </c>
      <c r="P97">
        <v>30.26</v>
      </c>
      <c r="Q97">
        <v>17.815000000000001</v>
      </c>
      <c r="R97">
        <v>18.131</v>
      </c>
      <c r="S97">
        <v>1.8540000000000001</v>
      </c>
      <c r="T97">
        <v>1.175</v>
      </c>
      <c r="U97">
        <v>5.3419999999999996</v>
      </c>
      <c r="V97">
        <v>2.427</v>
      </c>
      <c r="W97">
        <v>14.923</v>
      </c>
      <c r="X97">
        <v>44.837000000000003</v>
      </c>
      <c r="Y97">
        <v>5.3159999999999998</v>
      </c>
      <c r="Z97">
        <v>4.9930000000000003</v>
      </c>
      <c r="AB97">
        <v>2.367</v>
      </c>
      <c r="AC97">
        <v>16.945</v>
      </c>
      <c r="AD97">
        <v>67.988</v>
      </c>
      <c r="AE97">
        <v>1.49</v>
      </c>
      <c r="AF97">
        <v>23.452999999999999</v>
      </c>
      <c r="AG97">
        <v>31.263000000000002</v>
      </c>
      <c r="AH97">
        <v>1.4670000000000001</v>
      </c>
    </row>
    <row r="98" spans="1:34" x14ac:dyDescent="0.25">
      <c r="A98" s="143">
        <v>44699</v>
      </c>
      <c r="B98">
        <v>16.452999999999999</v>
      </c>
      <c r="C98">
        <v>12.602</v>
      </c>
      <c r="D98">
        <v>4.7439999999999998</v>
      </c>
      <c r="E98">
        <v>18.271999999999998</v>
      </c>
      <c r="F98">
        <v>23.501999999999999</v>
      </c>
      <c r="G98">
        <v>3.4750000000000001</v>
      </c>
      <c r="H98">
        <v>3.3119999999999998</v>
      </c>
      <c r="I98">
        <v>24.645</v>
      </c>
      <c r="J98">
        <v>29.11</v>
      </c>
      <c r="K98">
        <v>2.984</v>
      </c>
      <c r="L98">
        <v>3.27</v>
      </c>
      <c r="M98">
        <v>6.4370000000000003</v>
      </c>
      <c r="N98">
        <v>1.595</v>
      </c>
      <c r="O98">
        <v>6.99</v>
      </c>
      <c r="P98">
        <v>30.187999999999999</v>
      </c>
      <c r="Q98">
        <v>17.742999999999999</v>
      </c>
      <c r="R98">
        <v>18.152999999999999</v>
      </c>
      <c r="S98">
        <v>1.849</v>
      </c>
      <c r="T98">
        <v>1.1779999999999999</v>
      </c>
      <c r="U98">
        <v>5.3289999999999997</v>
      </c>
      <c r="V98">
        <v>2.4129999999999998</v>
      </c>
      <c r="W98">
        <v>14.893000000000001</v>
      </c>
      <c r="X98">
        <v>44.75</v>
      </c>
      <c r="Y98">
        <v>5.3079999999999998</v>
      </c>
      <c r="Z98">
        <v>4.9809999999999999</v>
      </c>
      <c r="AB98">
        <v>2.355</v>
      </c>
      <c r="AC98">
        <v>16.882999999999999</v>
      </c>
      <c r="AD98">
        <v>67.712000000000003</v>
      </c>
      <c r="AE98">
        <v>1.4690000000000001</v>
      </c>
      <c r="AF98">
        <v>23.422000000000001</v>
      </c>
      <c r="AG98">
        <v>31.363</v>
      </c>
      <c r="AH98">
        <v>1.4730000000000001</v>
      </c>
    </row>
    <row r="99" spans="1:34" x14ac:dyDescent="0.25">
      <c r="A99" s="143">
        <v>44700</v>
      </c>
      <c r="B99">
        <v>16.425999999999998</v>
      </c>
      <c r="C99">
        <v>12.625</v>
      </c>
      <c r="D99">
        <v>4.7439999999999998</v>
      </c>
      <c r="E99">
        <v>18.306999999999999</v>
      </c>
      <c r="F99">
        <v>24.06</v>
      </c>
      <c r="G99">
        <v>3.4790000000000001</v>
      </c>
      <c r="H99">
        <v>3.3180000000000001</v>
      </c>
      <c r="I99">
        <v>24.695</v>
      </c>
      <c r="J99">
        <v>29.143999999999998</v>
      </c>
      <c r="K99">
        <v>2.99</v>
      </c>
      <c r="L99">
        <v>3.2749999999999999</v>
      </c>
      <c r="M99">
        <v>6.4</v>
      </c>
      <c r="N99">
        <v>1.593</v>
      </c>
      <c r="O99">
        <v>6.9409999999999998</v>
      </c>
      <c r="P99">
        <v>30.228999999999999</v>
      </c>
      <c r="Q99">
        <v>17.702999999999999</v>
      </c>
      <c r="R99">
        <v>18.369</v>
      </c>
      <c r="S99">
        <v>1.839</v>
      </c>
      <c r="T99">
        <v>1.1759999999999999</v>
      </c>
      <c r="U99">
        <v>5.3280000000000003</v>
      </c>
      <c r="V99">
        <v>2.395</v>
      </c>
      <c r="W99">
        <v>14.920999999999999</v>
      </c>
      <c r="X99">
        <v>44.822000000000003</v>
      </c>
      <c r="Y99">
        <v>5.32</v>
      </c>
      <c r="Z99">
        <v>4.9909999999999997</v>
      </c>
      <c r="AB99">
        <v>2.35</v>
      </c>
      <c r="AC99">
        <v>16.942</v>
      </c>
      <c r="AD99">
        <v>67.962000000000003</v>
      </c>
      <c r="AE99">
        <v>1.47</v>
      </c>
      <c r="AF99">
        <v>23.468</v>
      </c>
      <c r="AG99">
        <v>31.417000000000002</v>
      </c>
      <c r="AH99">
        <v>1.468</v>
      </c>
    </row>
    <row r="100" spans="1:34" x14ac:dyDescent="0.25">
      <c r="A100" s="143">
        <v>44701</v>
      </c>
      <c r="B100">
        <v>16.463000000000001</v>
      </c>
      <c r="C100">
        <v>12.611000000000001</v>
      </c>
      <c r="D100">
        <v>4.7460000000000004</v>
      </c>
      <c r="E100">
        <v>18.231999999999999</v>
      </c>
      <c r="F100">
        <v>23.986999999999998</v>
      </c>
      <c r="G100">
        <v>3.4940000000000002</v>
      </c>
      <c r="H100">
        <v>3.3130000000000002</v>
      </c>
      <c r="I100">
        <v>24.66</v>
      </c>
      <c r="J100">
        <v>29.074999999999999</v>
      </c>
      <c r="K100">
        <v>2.972</v>
      </c>
      <c r="L100">
        <v>3.2730000000000001</v>
      </c>
      <c r="M100">
        <v>6.44</v>
      </c>
      <c r="N100">
        <v>1.5920000000000001</v>
      </c>
      <c r="O100">
        <v>6.9809999999999999</v>
      </c>
      <c r="P100">
        <v>30.018000000000001</v>
      </c>
      <c r="Q100">
        <v>17.805</v>
      </c>
      <c r="R100">
        <v>18.225000000000001</v>
      </c>
      <c r="S100">
        <v>1.84</v>
      </c>
      <c r="T100">
        <v>1.1719999999999999</v>
      </c>
      <c r="U100">
        <v>5.3129999999999997</v>
      </c>
      <c r="V100">
        <v>2.403</v>
      </c>
      <c r="W100">
        <v>14.930999999999999</v>
      </c>
      <c r="X100">
        <v>44.7</v>
      </c>
      <c r="Y100">
        <v>5.319</v>
      </c>
      <c r="Z100">
        <v>4.984</v>
      </c>
      <c r="AB100">
        <v>2.35</v>
      </c>
      <c r="AC100">
        <v>16.908000000000001</v>
      </c>
      <c r="AD100">
        <v>67.971000000000004</v>
      </c>
      <c r="AE100">
        <v>1.468</v>
      </c>
      <c r="AF100">
        <v>23.32</v>
      </c>
      <c r="AG100">
        <v>31.259</v>
      </c>
      <c r="AH100">
        <v>1.4750000000000001</v>
      </c>
    </row>
    <row r="101" spans="1:34" x14ac:dyDescent="0.25">
      <c r="A101" s="143">
        <v>44704</v>
      </c>
      <c r="B101">
        <v>16.414000000000001</v>
      </c>
      <c r="C101">
        <v>12.574999999999999</v>
      </c>
      <c r="D101">
        <v>4.7679999999999998</v>
      </c>
      <c r="E101">
        <v>18.047000000000001</v>
      </c>
      <c r="F101">
        <v>23.852</v>
      </c>
      <c r="G101">
        <v>3.4729999999999999</v>
      </c>
      <c r="H101">
        <v>3.3050000000000002</v>
      </c>
      <c r="I101">
        <v>24.594999999999999</v>
      </c>
      <c r="J101">
        <v>29.006</v>
      </c>
      <c r="K101">
        <v>2.94</v>
      </c>
      <c r="L101">
        <v>3.2669999999999999</v>
      </c>
      <c r="M101">
        <v>6.44</v>
      </c>
      <c r="N101">
        <v>1.573</v>
      </c>
      <c r="O101">
        <v>6.8789999999999996</v>
      </c>
      <c r="P101">
        <v>29.745999999999999</v>
      </c>
      <c r="Q101">
        <v>17.681999999999999</v>
      </c>
      <c r="R101">
        <v>18.077000000000002</v>
      </c>
      <c r="S101">
        <v>1.829</v>
      </c>
      <c r="T101">
        <v>1.1639999999999999</v>
      </c>
      <c r="U101">
        <v>5.2569999999999997</v>
      </c>
      <c r="V101">
        <v>2.399</v>
      </c>
      <c r="W101">
        <v>14.941000000000001</v>
      </c>
      <c r="X101">
        <v>44.167999999999999</v>
      </c>
      <c r="Y101">
        <v>5.3230000000000004</v>
      </c>
      <c r="Z101">
        <v>4.9720000000000004</v>
      </c>
      <c r="AB101">
        <v>2.3439999999999999</v>
      </c>
      <c r="AC101">
        <v>16.8</v>
      </c>
      <c r="AD101">
        <v>67.563999999999993</v>
      </c>
      <c r="AE101">
        <v>1.4590000000000001</v>
      </c>
      <c r="AF101">
        <v>23.074000000000002</v>
      </c>
      <c r="AG101">
        <v>31.021999999999998</v>
      </c>
      <c r="AH101">
        <v>1.468</v>
      </c>
    </row>
    <row r="102" spans="1:34" x14ac:dyDescent="0.25">
      <c r="A102" s="143">
        <v>44705</v>
      </c>
      <c r="B102">
        <v>16.274000000000001</v>
      </c>
      <c r="C102">
        <v>12.606</v>
      </c>
      <c r="D102">
        <v>4.7629999999999999</v>
      </c>
      <c r="E102">
        <v>17.98</v>
      </c>
      <c r="F102">
        <v>23.867999999999999</v>
      </c>
      <c r="G102">
        <v>3.4529999999999998</v>
      </c>
      <c r="H102">
        <v>3.3140000000000001</v>
      </c>
      <c r="I102">
        <v>24.66</v>
      </c>
      <c r="J102">
        <v>28.759</v>
      </c>
      <c r="K102">
        <v>2.931</v>
      </c>
      <c r="L102">
        <v>3.274</v>
      </c>
      <c r="M102">
        <v>6.4329999999999998</v>
      </c>
      <c r="N102">
        <v>1.569</v>
      </c>
      <c r="O102">
        <v>6.8769999999999998</v>
      </c>
      <c r="P102">
        <v>29.645</v>
      </c>
      <c r="Q102">
        <v>17.702999999999999</v>
      </c>
      <c r="R102">
        <v>18.077000000000002</v>
      </c>
      <c r="S102">
        <v>1.8220000000000001</v>
      </c>
      <c r="T102">
        <v>1.161</v>
      </c>
      <c r="U102">
        <v>5.2320000000000002</v>
      </c>
      <c r="V102">
        <v>2.3959999999999999</v>
      </c>
      <c r="W102">
        <v>14.805</v>
      </c>
      <c r="X102">
        <v>43.915999999999997</v>
      </c>
      <c r="Y102">
        <v>5.359</v>
      </c>
      <c r="Z102">
        <v>4.9870000000000001</v>
      </c>
      <c r="AB102">
        <v>2.3479999999999999</v>
      </c>
      <c r="AC102">
        <v>16.75</v>
      </c>
      <c r="AD102">
        <v>67.361999999999995</v>
      </c>
      <c r="AE102">
        <v>1.429</v>
      </c>
      <c r="AF102">
        <v>23.004000000000001</v>
      </c>
      <c r="AG102">
        <v>31.047999999999998</v>
      </c>
      <c r="AH102">
        <v>1.4690000000000001</v>
      </c>
    </row>
    <row r="103" spans="1:34" x14ac:dyDescent="0.25">
      <c r="A103" s="143">
        <v>44706</v>
      </c>
      <c r="B103">
        <v>16.297000000000001</v>
      </c>
      <c r="C103">
        <v>12.603</v>
      </c>
      <c r="D103">
        <v>4.766</v>
      </c>
      <c r="E103">
        <v>17.966999999999999</v>
      </c>
      <c r="F103">
        <v>24.004000000000001</v>
      </c>
      <c r="G103">
        <v>3.4580000000000002</v>
      </c>
      <c r="H103">
        <v>3.3130000000000002</v>
      </c>
      <c r="I103">
        <v>24.65</v>
      </c>
      <c r="J103">
        <v>28.902000000000001</v>
      </c>
      <c r="K103">
        <v>2.9470000000000001</v>
      </c>
      <c r="L103">
        <v>3.2749999999999999</v>
      </c>
      <c r="M103">
        <v>6.343</v>
      </c>
      <c r="N103">
        <v>1.581</v>
      </c>
      <c r="O103">
        <v>6.8780000000000001</v>
      </c>
      <c r="P103">
        <v>29.821000000000002</v>
      </c>
      <c r="Q103">
        <v>17.824000000000002</v>
      </c>
      <c r="R103">
        <v>18.213999999999999</v>
      </c>
      <c r="S103">
        <v>1.82</v>
      </c>
      <c r="T103">
        <v>1.1619999999999999</v>
      </c>
      <c r="U103">
        <v>5.2640000000000002</v>
      </c>
      <c r="V103">
        <v>2.4</v>
      </c>
      <c r="W103">
        <v>14.906000000000001</v>
      </c>
      <c r="X103">
        <v>44.189</v>
      </c>
      <c r="Y103">
        <v>5.3360000000000003</v>
      </c>
      <c r="Z103">
        <v>4.9870000000000001</v>
      </c>
      <c r="AB103">
        <v>2.3380000000000001</v>
      </c>
      <c r="AC103">
        <v>16.798999999999999</v>
      </c>
      <c r="AD103">
        <v>67.447999999999993</v>
      </c>
      <c r="AE103">
        <v>1.417</v>
      </c>
      <c r="AF103">
        <v>23.135000000000002</v>
      </c>
      <c r="AG103">
        <v>31.23</v>
      </c>
      <c r="AH103">
        <v>1.4710000000000001</v>
      </c>
    </row>
    <row r="104" spans="1:34" x14ac:dyDescent="0.25">
      <c r="A104" s="143">
        <v>44707</v>
      </c>
      <c r="B104">
        <v>16.324000000000002</v>
      </c>
      <c r="C104">
        <v>12.613</v>
      </c>
      <c r="D104">
        <v>4.7690000000000001</v>
      </c>
      <c r="E104">
        <v>17.992999999999999</v>
      </c>
      <c r="F104">
        <v>23.99</v>
      </c>
      <c r="G104">
        <v>3.427</v>
      </c>
      <c r="H104">
        <v>3.3149999999999999</v>
      </c>
      <c r="I104">
        <v>24.67</v>
      </c>
      <c r="J104">
        <v>29.001999999999999</v>
      </c>
      <c r="K104">
        <v>2.9390000000000001</v>
      </c>
      <c r="L104">
        <v>3.2730000000000001</v>
      </c>
      <c r="M104">
        <v>6.2960000000000003</v>
      </c>
      <c r="N104">
        <v>1.5760000000000001</v>
      </c>
      <c r="O104">
        <v>6.8659999999999997</v>
      </c>
      <c r="P104">
        <v>29.722000000000001</v>
      </c>
      <c r="Q104">
        <v>17.864000000000001</v>
      </c>
      <c r="R104">
        <v>18.154</v>
      </c>
      <c r="S104">
        <v>1.823</v>
      </c>
      <c r="T104">
        <v>1.1639999999999999</v>
      </c>
      <c r="U104">
        <v>5.2450000000000001</v>
      </c>
      <c r="V104">
        <v>2.4020000000000001</v>
      </c>
      <c r="W104">
        <v>14.913</v>
      </c>
      <c r="X104">
        <v>44.081000000000003</v>
      </c>
      <c r="Y104">
        <v>5.3529999999999998</v>
      </c>
      <c r="Z104">
        <v>4.992</v>
      </c>
      <c r="AB104">
        <v>2.3279999999999998</v>
      </c>
      <c r="AC104">
        <v>16.774999999999999</v>
      </c>
      <c r="AD104">
        <v>67.424999999999997</v>
      </c>
      <c r="AE104">
        <v>1.405</v>
      </c>
      <c r="AF104">
        <v>23.067</v>
      </c>
      <c r="AG104">
        <v>31.093</v>
      </c>
      <c r="AH104">
        <v>1.4570000000000001</v>
      </c>
    </row>
    <row r="105" spans="1:34" x14ac:dyDescent="0.25">
      <c r="A105" s="143">
        <v>44708</v>
      </c>
      <c r="B105">
        <v>16.472000000000001</v>
      </c>
      <c r="C105">
        <v>12.629</v>
      </c>
      <c r="D105">
        <v>4.8470000000000004</v>
      </c>
      <c r="E105">
        <v>18.085000000000001</v>
      </c>
      <c r="F105">
        <v>24.087</v>
      </c>
      <c r="G105">
        <v>3.44</v>
      </c>
      <c r="H105">
        <v>3.32</v>
      </c>
      <c r="I105">
        <v>24.7</v>
      </c>
      <c r="J105">
        <v>29.102</v>
      </c>
      <c r="K105">
        <v>2.9359999999999999</v>
      </c>
      <c r="L105">
        <v>3.2770000000000001</v>
      </c>
      <c r="M105">
        <v>6.2869999999999999</v>
      </c>
      <c r="N105">
        <v>1.581</v>
      </c>
      <c r="O105">
        <v>6.87</v>
      </c>
      <c r="P105">
        <v>29.699000000000002</v>
      </c>
      <c r="Q105">
        <v>17.911999999999999</v>
      </c>
      <c r="R105">
        <v>18.158999999999999</v>
      </c>
      <c r="S105">
        <v>1.839</v>
      </c>
      <c r="T105">
        <v>1.169</v>
      </c>
      <c r="U105">
        <v>5.2619999999999996</v>
      </c>
      <c r="V105">
        <v>2.427</v>
      </c>
      <c r="W105">
        <v>15.038</v>
      </c>
      <c r="X105">
        <v>44.106999999999999</v>
      </c>
      <c r="Y105">
        <v>5.3860000000000001</v>
      </c>
      <c r="Z105">
        <v>4.9969999999999999</v>
      </c>
      <c r="AB105">
        <v>2.3460000000000001</v>
      </c>
      <c r="AC105">
        <v>16.834</v>
      </c>
      <c r="AD105">
        <v>67.521000000000001</v>
      </c>
      <c r="AE105">
        <v>1.405</v>
      </c>
      <c r="AF105">
        <v>23.042999999999999</v>
      </c>
      <c r="AG105">
        <v>31.111000000000001</v>
      </c>
      <c r="AH105">
        <v>1.476</v>
      </c>
    </row>
    <row r="106" spans="1:34" x14ac:dyDescent="0.25">
      <c r="A106" s="143">
        <v>44711</v>
      </c>
      <c r="B106">
        <v>16.495999999999999</v>
      </c>
      <c r="C106">
        <v>12.637</v>
      </c>
      <c r="D106">
        <v>4.8819999999999997</v>
      </c>
      <c r="E106">
        <v>18.109000000000002</v>
      </c>
      <c r="F106">
        <v>23.93</v>
      </c>
      <c r="G106">
        <v>3.4470000000000001</v>
      </c>
      <c r="H106">
        <v>3.3220000000000001</v>
      </c>
      <c r="I106">
        <v>24.71</v>
      </c>
      <c r="J106">
        <v>29.024000000000001</v>
      </c>
      <c r="K106">
        <v>2.9249999999999998</v>
      </c>
      <c r="L106">
        <v>3.2789999999999999</v>
      </c>
      <c r="M106">
        <v>6.3019999999999996</v>
      </c>
      <c r="N106">
        <v>1.577</v>
      </c>
      <c r="O106">
        <v>6.9180000000000001</v>
      </c>
      <c r="P106">
        <v>29.603999999999999</v>
      </c>
      <c r="Q106">
        <v>18.05</v>
      </c>
      <c r="R106">
        <v>18.001999999999999</v>
      </c>
      <c r="S106">
        <v>1.8560000000000001</v>
      </c>
      <c r="T106">
        <v>1.1830000000000001</v>
      </c>
      <c r="U106">
        <v>5.258</v>
      </c>
      <c r="V106">
        <v>2.44</v>
      </c>
      <c r="W106">
        <v>15.032999999999999</v>
      </c>
      <c r="X106">
        <v>43.877000000000002</v>
      </c>
      <c r="Y106">
        <v>5.39</v>
      </c>
      <c r="Z106">
        <v>4.9980000000000002</v>
      </c>
      <c r="AB106">
        <v>2.3490000000000002</v>
      </c>
      <c r="AC106">
        <v>16.789000000000001</v>
      </c>
      <c r="AD106">
        <v>67.337000000000003</v>
      </c>
      <c r="AE106">
        <v>1.401</v>
      </c>
      <c r="AF106">
        <v>22.957999999999998</v>
      </c>
      <c r="AG106">
        <v>30.974</v>
      </c>
      <c r="AH106">
        <v>1.484</v>
      </c>
    </row>
    <row r="107" spans="1:34" x14ac:dyDescent="0.25">
      <c r="A107" s="143">
        <v>44712</v>
      </c>
      <c r="B107">
        <v>16.547999999999998</v>
      </c>
      <c r="C107">
        <v>12.634</v>
      </c>
      <c r="D107">
        <v>4.8479999999999999</v>
      </c>
      <c r="E107">
        <v>18.207999999999998</v>
      </c>
      <c r="F107">
        <v>24.038</v>
      </c>
      <c r="G107">
        <v>3.464</v>
      </c>
      <c r="H107">
        <v>3.3220000000000001</v>
      </c>
      <c r="I107">
        <v>24.71</v>
      </c>
      <c r="J107">
        <v>29.033000000000001</v>
      </c>
      <c r="K107">
        <v>2.94</v>
      </c>
      <c r="L107">
        <v>3.2759999999999998</v>
      </c>
      <c r="M107">
        <v>6.2359999999999998</v>
      </c>
      <c r="N107">
        <v>1.5820000000000001</v>
      </c>
      <c r="O107">
        <v>6.915</v>
      </c>
      <c r="P107">
        <v>29.693999999999999</v>
      </c>
      <c r="Q107">
        <v>18.129000000000001</v>
      </c>
      <c r="R107">
        <v>17.992999999999999</v>
      </c>
      <c r="S107">
        <v>1.859</v>
      </c>
      <c r="T107">
        <v>1.1779999999999999</v>
      </c>
      <c r="U107">
        <v>5.2690000000000001</v>
      </c>
      <c r="V107">
        <v>2.4470000000000001</v>
      </c>
      <c r="W107">
        <v>15.013999999999999</v>
      </c>
      <c r="X107">
        <v>43.889000000000003</v>
      </c>
      <c r="Y107">
        <v>5.3949999999999996</v>
      </c>
      <c r="Z107">
        <v>5.0010000000000003</v>
      </c>
      <c r="AB107">
        <v>2.3519999999999999</v>
      </c>
      <c r="AC107">
        <v>16.826000000000001</v>
      </c>
      <c r="AD107">
        <v>67.251999999999995</v>
      </c>
      <c r="AE107">
        <v>1.4059999999999999</v>
      </c>
      <c r="AF107">
        <v>23.07</v>
      </c>
      <c r="AG107">
        <v>31.125</v>
      </c>
      <c r="AH107">
        <v>1.476</v>
      </c>
    </row>
    <row r="108" spans="1:34" x14ac:dyDescent="0.25">
      <c r="A108" s="143">
        <v>44713</v>
      </c>
      <c r="B108">
        <v>16.655999999999999</v>
      </c>
      <c r="C108">
        <v>12.653</v>
      </c>
      <c r="D108">
        <v>4.8869999999999996</v>
      </c>
      <c r="E108">
        <v>18.285</v>
      </c>
      <c r="F108">
        <v>24.015999999999998</v>
      </c>
      <c r="G108">
        <v>3.4569999999999999</v>
      </c>
      <c r="H108">
        <v>3.3260000000000001</v>
      </c>
      <c r="I108">
        <v>24.745000000000001</v>
      </c>
      <c r="J108">
        <v>29.062999999999999</v>
      </c>
      <c r="K108">
        <v>2.944</v>
      </c>
      <c r="L108">
        <v>3.2839999999999998</v>
      </c>
      <c r="M108">
        <v>6.2640000000000002</v>
      </c>
      <c r="N108">
        <v>1.5840000000000001</v>
      </c>
      <c r="O108">
        <v>6.9359999999999999</v>
      </c>
      <c r="P108">
        <v>29.797999999999998</v>
      </c>
      <c r="Q108">
        <v>18.048999999999999</v>
      </c>
      <c r="R108">
        <v>17.846</v>
      </c>
      <c r="S108">
        <v>1.859</v>
      </c>
      <c r="T108">
        <v>1.1739999999999999</v>
      </c>
      <c r="U108">
        <v>5.2709999999999999</v>
      </c>
      <c r="V108">
        <v>2.4630000000000001</v>
      </c>
      <c r="W108">
        <v>15.054</v>
      </c>
      <c r="X108">
        <v>44.048000000000002</v>
      </c>
      <c r="Y108">
        <v>5.39</v>
      </c>
      <c r="Z108">
        <v>5.0060000000000002</v>
      </c>
      <c r="AB108">
        <v>2.3620000000000001</v>
      </c>
      <c r="AC108">
        <v>16.835000000000001</v>
      </c>
      <c r="AD108">
        <v>67.353999999999999</v>
      </c>
      <c r="AE108">
        <v>1.4039999999999999</v>
      </c>
      <c r="AF108">
        <v>23.102</v>
      </c>
      <c r="AG108">
        <v>31.181000000000001</v>
      </c>
      <c r="AH108">
        <v>1.49</v>
      </c>
    </row>
    <row r="109" spans="1:34" x14ac:dyDescent="0.25">
      <c r="A109" s="143">
        <v>44714</v>
      </c>
      <c r="B109">
        <v>16.655999999999999</v>
      </c>
      <c r="C109">
        <v>12.625</v>
      </c>
      <c r="D109">
        <v>4.8150000000000004</v>
      </c>
      <c r="E109">
        <v>18.268000000000001</v>
      </c>
      <c r="F109">
        <v>24.062000000000001</v>
      </c>
      <c r="G109">
        <v>3.4609999999999999</v>
      </c>
      <c r="H109">
        <v>3.32</v>
      </c>
      <c r="I109">
        <v>24.7</v>
      </c>
      <c r="J109">
        <v>28.992999999999999</v>
      </c>
      <c r="K109">
        <v>2.9430000000000001</v>
      </c>
      <c r="L109">
        <v>3.278</v>
      </c>
      <c r="M109">
        <v>6.2549999999999999</v>
      </c>
      <c r="N109">
        <v>1.595</v>
      </c>
      <c r="O109">
        <v>6.9169999999999998</v>
      </c>
      <c r="P109">
        <v>29.777000000000001</v>
      </c>
      <c r="Q109">
        <v>18.042000000000002</v>
      </c>
      <c r="R109">
        <v>17.815000000000001</v>
      </c>
      <c r="S109">
        <v>1.851</v>
      </c>
      <c r="T109">
        <v>1.177</v>
      </c>
      <c r="U109">
        <v>5.26</v>
      </c>
      <c r="V109">
        <v>2.4420000000000002</v>
      </c>
      <c r="W109">
        <v>15.052</v>
      </c>
      <c r="X109">
        <v>43.73</v>
      </c>
      <c r="Y109">
        <v>5.3940000000000001</v>
      </c>
      <c r="Z109">
        <v>4.9989999999999997</v>
      </c>
      <c r="AB109">
        <v>2.359</v>
      </c>
      <c r="AC109">
        <v>16.797000000000001</v>
      </c>
      <c r="AD109">
        <v>67.191000000000003</v>
      </c>
      <c r="AE109">
        <v>1.4019999999999999</v>
      </c>
      <c r="AF109">
        <v>23.094999999999999</v>
      </c>
      <c r="AG109">
        <v>31.158000000000001</v>
      </c>
      <c r="AH109">
        <v>1.4870000000000001</v>
      </c>
    </row>
    <row r="110" spans="1:34" x14ac:dyDescent="0.25">
      <c r="A110" s="143">
        <v>44715</v>
      </c>
      <c r="B110">
        <v>16.690000000000001</v>
      </c>
      <c r="C110">
        <v>12.632</v>
      </c>
      <c r="D110">
        <v>4.7839999999999998</v>
      </c>
      <c r="E110">
        <v>18.324999999999999</v>
      </c>
      <c r="F110">
        <v>23.992999999999999</v>
      </c>
      <c r="G110">
        <v>3.4580000000000002</v>
      </c>
      <c r="H110">
        <v>3.3210000000000002</v>
      </c>
      <c r="I110">
        <v>24.704999999999998</v>
      </c>
      <c r="J110">
        <v>28.92</v>
      </c>
      <c r="K110">
        <v>2.9359999999999999</v>
      </c>
      <c r="L110">
        <v>3.2839999999999998</v>
      </c>
      <c r="M110">
        <v>6.2569999999999997</v>
      </c>
      <c r="N110">
        <v>1.595</v>
      </c>
      <c r="O110">
        <v>6.9109999999999996</v>
      </c>
      <c r="P110">
        <v>29.67</v>
      </c>
      <c r="Q110">
        <v>17.914999999999999</v>
      </c>
      <c r="R110">
        <v>17.702999999999999</v>
      </c>
      <c r="S110">
        <v>1.8480000000000001</v>
      </c>
      <c r="T110">
        <v>1.177</v>
      </c>
      <c r="U110">
        <v>5.2469999999999999</v>
      </c>
      <c r="V110">
        <v>2.4449999999999998</v>
      </c>
      <c r="W110">
        <v>15.055999999999999</v>
      </c>
      <c r="X110">
        <v>43.55</v>
      </c>
      <c r="Y110">
        <v>5.3760000000000003</v>
      </c>
      <c r="Z110">
        <v>4.9980000000000002</v>
      </c>
      <c r="AB110">
        <v>2.3620000000000001</v>
      </c>
      <c r="AC110">
        <v>16.762</v>
      </c>
      <c r="AD110">
        <v>67.186999999999998</v>
      </c>
      <c r="AE110">
        <v>1.393</v>
      </c>
      <c r="AF110">
        <v>23.029</v>
      </c>
      <c r="AG110">
        <v>31.042999999999999</v>
      </c>
      <c r="AH110">
        <v>1.4870000000000001</v>
      </c>
    </row>
    <row r="111" spans="1:34" x14ac:dyDescent="0.25">
      <c r="A111" s="143">
        <v>44718</v>
      </c>
      <c r="B111">
        <v>16.654</v>
      </c>
      <c r="C111">
        <v>12.637</v>
      </c>
      <c r="D111">
        <v>4.8479999999999999</v>
      </c>
      <c r="E111">
        <v>18.361000000000001</v>
      </c>
      <c r="F111">
        <v>23.948</v>
      </c>
      <c r="G111">
        <v>3.472</v>
      </c>
      <c r="H111">
        <v>3.3220000000000001</v>
      </c>
      <c r="I111">
        <v>24.715</v>
      </c>
      <c r="J111">
        <v>28.937000000000001</v>
      </c>
      <c r="K111">
        <v>2.9369999999999998</v>
      </c>
      <c r="L111">
        <v>3.2850000000000001</v>
      </c>
      <c r="M111">
        <v>6.3689999999999998</v>
      </c>
      <c r="N111">
        <v>1.595</v>
      </c>
      <c r="O111">
        <v>6.9240000000000004</v>
      </c>
      <c r="P111">
        <v>29.690999999999999</v>
      </c>
      <c r="Q111">
        <v>17.870999999999999</v>
      </c>
      <c r="R111">
        <v>17.632000000000001</v>
      </c>
      <c r="S111">
        <v>1.843</v>
      </c>
      <c r="T111">
        <v>1.1819999999999999</v>
      </c>
      <c r="U111">
        <v>5.25</v>
      </c>
      <c r="V111">
        <v>2.4500000000000002</v>
      </c>
      <c r="W111">
        <v>15.045</v>
      </c>
      <c r="X111">
        <v>43.616</v>
      </c>
      <c r="Y111">
        <v>5.3949999999999996</v>
      </c>
      <c r="Z111">
        <v>5</v>
      </c>
      <c r="AB111">
        <v>2.3650000000000002</v>
      </c>
      <c r="AC111">
        <v>16.777000000000001</v>
      </c>
      <c r="AD111">
        <v>67.215000000000003</v>
      </c>
      <c r="AE111">
        <v>1.389</v>
      </c>
      <c r="AF111">
        <v>23.042999999999999</v>
      </c>
      <c r="AG111">
        <v>31.120999999999999</v>
      </c>
      <c r="AH111">
        <v>1.506</v>
      </c>
    </row>
    <row r="112" spans="1:34" x14ac:dyDescent="0.25">
      <c r="A112" s="143">
        <v>44719</v>
      </c>
      <c r="B112">
        <v>16.623999999999999</v>
      </c>
      <c r="C112">
        <v>12.648999999999999</v>
      </c>
      <c r="D112">
        <v>4.8239999999999998</v>
      </c>
      <c r="E112">
        <v>18.408999999999999</v>
      </c>
      <c r="F112">
        <v>23.736000000000001</v>
      </c>
      <c r="G112">
        <v>3.4769999999999999</v>
      </c>
      <c r="H112">
        <v>3.3260000000000001</v>
      </c>
      <c r="I112">
        <v>24.74</v>
      </c>
      <c r="J112">
        <v>28.984000000000002</v>
      </c>
      <c r="K112">
        <v>2.9569999999999999</v>
      </c>
      <c r="L112">
        <v>3.2879999999999998</v>
      </c>
      <c r="M112">
        <v>6.3559999999999999</v>
      </c>
      <c r="N112">
        <v>1.605</v>
      </c>
      <c r="O112">
        <v>6.9370000000000003</v>
      </c>
      <c r="P112">
        <v>29.85</v>
      </c>
      <c r="Q112">
        <v>17.811</v>
      </c>
      <c r="R112">
        <v>17.466000000000001</v>
      </c>
      <c r="S112">
        <v>1.8460000000000001</v>
      </c>
      <c r="T112">
        <v>1.1870000000000001</v>
      </c>
      <c r="U112">
        <v>5.2789999999999999</v>
      </c>
      <c r="V112">
        <v>2.4289999999999998</v>
      </c>
      <c r="W112">
        <v>14.920999999999999</v>
      </c>
      <c r="X112">
        <v>43.844000000000001</v>
      </c>
      <c r="Y112">
        <v>5.4020000000000001</v>
      </c>
      <c r="Z112">
        <v>5.0049999999999999</v>
      </c>
      <c r="AB112">
        <v>2.3559999999999999</v>
      </c>
      <c r="AC112">
        <v>16.846</v>
      </c>
      <c r="AD112">
        <v>67.284999999999997</v>
      </c>
      <c r="AE112">
        <v>1.3839999999999999</v>
      </c>
      <c r="AF112">
        <v>23.202000000000002</v>
      </c>
      <c r="AG112">
        <v>31.314</v>
      </c>
      <c r="AH112">
        <v>1.508</v>
      </c>
    </row>
    <row r="113" spans="1:34" x14ac:dyDescent="0.25">
      <c r="A113" s="143">
        <v>44720</v>
      </c>
      <c r="B113">
        <v>16.512</v>
      </c>
      <c r="C113">
        <v>12.593999999999999</v>
      </c>
      <c r="D113">
        <v>4.6980000000000004</v>
      </c>
      <c r="E113">
        <v>18.291</v>
      </c>
      <c r="F113">
        <v>23.495999999999999</v>
      </c>
      <c r="G113">
        <v>3.4340000000000002</v>
      </c>
      <c r="H113">
        <v>3.3119999999999998</v>
      </c>
      <c r="I113">
        <v>24.635000000000002</v>
      </c>
      <c r="J113">
        <v>28.786000000000001</v>
      </c>
      <c r="K113">
        <v>2.9239999999999999</v>
      </c>
      <c r="L113">
        <v>3.2749999999999999</v>
      </c>
      <c r="M113">
        <v>6.2969999999999997</v>
      </c>
      <c r="N113">
        <v>1.583</v>
      </c>
      <c r="O113">
        <v>6.8719999999999999</v>
      </c>
      <c r="P113">
        <v>29.538</v>
      </c>
      <c r="Q113">
        <v>17.736000000000001</v>
      </c>
      <c r="R113">
        <v>17.117999999999999</v>
      </c>
      <c r="S113">
        <v>1.8260000000000001</v>
      </c>
      <c r="T113">
        <v>1.17</v>
      </c>
      <c r="U113">
        <v>5.2220000000000004</v>
      </c>
      <c r="V113">
        <v>2.4289999999999998</v>
      </c>
      <c r="W113">
        <v>14.798999999999999</v>
      </c>
      <c r="X113">
        <v>43.363999999999997</v>
      </c>
      <c r="Y113">
        <v>5.3920000000000003</v>
      </c>
      <c r="Z113">
        <v>4.9809999999999999</v>
      </c>
      <c r="AB113">
        <v>2.347</v>
      </c>
      <c r="AC113">
        <v>16.681999999999999</v>
      </c>
      <c r="AD113">
        <v>66.451999999999998</v>
      </c>
      <c r="AE113">
        <v>1.335</v>
      </c>
      <c r="AF113">
        <v>22.943999999999999</v>
      </c>
      <c r="AG113">
        <v>30.853999999999999</v>
      </c>
      <c r="AH113">
        <v>1.4950000000000001</v>
      </c>
    </row>
    <row r="114" spans="1:34" x14ac:dyDescent="0.25">
      <c r="A114" s="143">
        <v>44721</v>
      </c>
      <c r="B114">
        <v>16.472999999999999</v>
      </c>
      <c r="C114">
        <v>12.624000000000001</v>
      </c>
      <c r="D114">
        <v>4.7030000000000003</v>
      </c>
      <c r="E114">
        <v>18.279</v>
      </c>
      <c r="F114">
        <v>23.526</v>
      </c>
      <c r="G114">
        <v>3.4449999999999998</v>
      </c>
      <c r="H114">
        <v>3.319</v>
      </c>
      <c r="I114">
        <v>24.69</v>
      </c>
      <c r="J114">
        <v>28.827000000000002</v>
      </c>
      <c r="K114">
        <v>2.9289999999999998</v>
      </c>
      <c r="L114">
        <v>3.282</v>
      </c>
      <c r="M114">
        <v>6.2270000000000003</v>
      </c>
      <c r="N114">
        <v>1.5780000000000001</v>
      </c>
      <c r="O114">
        <v>6.8849999999999998</v>
      </c>
      <c r="P114">
        <v>29.562000000000001</v>
      </c>
      <c r="Q114">
        <v>17.800999999999998</v>
      </c>
      <c r="R114">
        <v>17.152999999999999</v>
      </c>
      <c r="S114">
        <v>1.83</v>
      </c>
      <c r="T114">
        <v>1.1739999999999999</v>
      </c>
      <c r="U114">
        <v>5.2309999999999999</v>
      </c>
      <c r="V114">
        <v>2.4249999999999998</v>
      </c>
      <c r="W114">
        <v>14.807</v>
      </c>
      <c r="X114">
        <v>43.417000000000002</v>
      </c>
      <c r="Y114">
        <v>5.3769999999999998</v>
      </c>
      <c r="Z114">
        <v>4.992</v>
      </c>
      <c r="AB114">
        <v>2.35</v>
      </c>
      <c r="AC114">
        <v>16.707000000000001</v>
      </c>
      <c r="AD114">
        <v>66.599999999999994</v>
      </c>
      <c r="AE114">
        <v>1.3340000000000001</v>
      </c>
      <c r="AF114">
        <v>22.984999999999999</v>
      </c>
      <c r="AG114">
        <v>30.927</v>
      </c>
      <c r="AH114">
        <v>1.5029999999999999</v>
      </c>
    </row>
    <row r="115" spans="1:34" x14ac:dyDescent="0.25">
      <c r="A115" s="143">
        <v>44722</v>
      </c>
      <c r="B115">
        <v>16.641999999999999</v>
      </c>
      <c r="C115">
        <v>12.631</v>
      </c>
      <c r="D115">
        <v>4.78</v>
      </c>
      <c r="E115">
        <v>18.321999999999999</v>
      </c>
      <c r="F115">
        <v>23.745999999999999</v>
      </c>
      <c r="G115">
        <v>3.488</v>
      </c>
      <c r="H115">
        <v>3.3210000000000002</v>
      </c>
      <c r="I115">
        <v>24.704999999999998</v>
      </c>
      <c r="J115">
        <v>29.050999999999998</v>
      </c>
      <c r="K115">
        <v>2.9750000000000001</v>
      </c>
      <c r="L115">
        <v>3.2850000000000001</v>
      </c>
      <c r="M115">
        <v>6.1989999999999998</v>
      </c>
      <c r="N115">
        <v>1.605</v>
      </c>
      <c r="O115">
        <v>6.9349999999999996</v>
      </c>
      <c r="P115">
        <v>30.003</v>
      </c>
      <c r="Q115">
        <v>17.940999999999999</v>
      </c>
      <c r="R115">
        <v>17.436</v>
      </c>
      <c r="S115">
        <v>1.8380000000000001</v>
      </c>
      <c r="T115">
        <v>1.1859999999999999</v>
      </c>
      <c r="U115">
        <v>5.306</v>
      </c>
      <c r="V115">
        <v>2.4340000000000002</v>
      </c>
      <c r="W115">
        <v>14.988</v>
      </c>
      <c r="X115">
        <v>44.036000000000001</v>
      </c>
      <c r="Y115">
        <v>5.3639999999999999</v>
      </c>
      <c r="Z115">
        <v>4.9960000000000004</v>
      </c>
      <c r="AB115">
        <v>2.347</v>
      </c>
      <c r="AC115">
        <v>16.899000000000001</v>
      </c>
      <c r="AD115">
        <v>67.183999999999997</v>
      </c>
      <c r="AE115">
        <v>1.3720000000000001</v>
      </c>
      <c r="AF115">
        <v>23.355</v>
      </c>
      <c r="AG115">
        <v>31.445</v>
      </c>
      <c r="AH115">
        <v>1.4950000000000001</v>
      </c>
    </row>
    <row r="116" spans="1:34" x14ac:dyDescent="0.25">
      <c r="A116" s="143">
        <v>44725</v>
      </c>
      <c r="B116">
        <v>16.481000000000002</v>
      </c>
      <c r="C116">
        <v>12.641</v>
      </c>
      <c r="D116">
        <v>4.6859999999999999</v>
      </c>
      <c r="E116">
        <v>18.405000000000001</v>
      </c>
      <c r="F116">
        <v>23.824999999999999</v>
      </c>
      <c r="G116">
        <v>3.5110000000000001</v>
      </c>
      <c r="H116">
        <v>3.323</v>
      </c>
      <c r="I116">
        <v>24.725000000000001</v>
      </c>
      <c r="J116">
        <v>28.788</v>
      </c>
      <c r="K116">
        <v>3.0129999999999999</v>
      </c>
      <c r="L116">
        <v>3.2869999999999999</v>
      </c>
      <c r="M116">
        <v>6.1909999999999998</v>
      </c>
      <c r="N116">
        <v>1.611</v>
      </c>
      <c r="O116">
        <v>6.8680000000000003</v>
      </c>
      <c r="P116">
        <v>30.303999999999998</v>
      </c>
      <c r="Q116">
        <v>17.826000000000001</v>
      </c>
      <c r="R116">
        <v>17.599</v>
      </c>
      <c r="S116">
        <v>1.831</v>
      </c>
      <c r="T116">
        <v>1.1659999999999999</v>
      </c>
      <c r="U116">
        <v>5.3520000000000003</v>
      </c>
      <c r="V116">
        <v>2.3959999999999999</v>
      </c>
      <c r="W116">
        <v>14.861000000000001</v>
      </c>
      <c r="X116">
        <v>44.371000000000002</v>
      </c>
      <c r="Y116">
        <v>5.3319999999999999</v>
      </c>
      <c r="Z116">
        <v>4.9989999999999997</v>
      </c>
      <c r="AB116">
        <v>2.3290000000000002</v>
      </c>
      <c r="AC116">
        <v>17.007999999999999</v>
      </c>
      <c r="AD116">
        <v>67.936999999999998</v>
      </c>
      <c r="AE116">
        <v>1.37</v>
      </c>
      <c r="AF116">
        <v>23.649000000000001</v>
      </c>
      <c r="AG116">
        <v>31.686</v>
      </c>
      <c r="AH116">
        <v>1.47</v>
      </c>
    </row>
    <row r="117" spans="1:34" x14ac:dyDescent="0.25">
      <c r="A117" s="143">
        <v>44726</v>
      </c>
      <c r="B117">
        <v>16.318999999999999</v>
      </c>
      <c r="C117">
        <v>12.656000000000001</v>
      </c>
      <c r="D117">
        <v>4.6429999999999998</v>
      </c>
      <c r="E117">
        <v>18.309999999999999</v>
      </c>
      <c r="F117">
        <v>23.81</v>
      </c>
      <c r="G117">
        <v>3.5169999999999999</v>
      </c>
      <c r="H117">
        <v>3.3260000000000001</v>
      </c>
      <c r="I117">
        <v>24.75</v>
      </c>
      <c r="J117">
        <v>28.608000000000001</v>
      </c>
      <c r="K117">
        <v>3.0179999999999998</v>
      </c>
      <c r="L117">
        <v>3.29</v>
      </c>
      <c r="M117">
        <v>6.2080000000000002</v>
      </c>
      <c r="N117">
        <v>1.6120000000000001</v>
      </c>
      <c r="O117">
        <v>6.8380000000000001</v>
      </c>
      <c r="P117">
        <v>30.358000000000001</v>
      </c>
      <c r="Q117">
        <v>17.896000000000001</v>
      </c>
      <c r="R117">
        <v>17.606999999999999</v>
      </c>
      <c r="S117">
        <v>1.839</v>
      </c>
      <c r="T117">
        <v>1.1519999999999999</v>
      </c>
      <c r="U117">
        <v>5.3559999999999999</v>
      </c>
      <c r="V117">
        <v>2.3820000000000001</v>
      </c>
      <c r="W117">
        <v>14.778</v>
      </c>
      <c r="X117">
        <v>44.475999999999999</v>
      </c>
      <c r="Y117">
        <v>5.3150000000000004</v>
      </c>
      <c r="Z117">
        <v>5.0049999999999999</v>
      </c>
      <c r="AB117">
        <v>2.33</v>
      </c>
      <c r="AC117">
        <v>17.027999999999999</v>
      </c>
      <c r="AD117">
        <v>67.706000000000003</v>
      </c>
      <c r="AE117">
        <v>1.371</v>
      </c>
      <c r="AF117">
        <v>23.689</v>
      </c>
      <c r="AG117">
        <v>31.536999999999999</v>
      </c>
      <c r="AH117">
        <v>1.474</v>
      </c>
    </row>
    <row r="118" spans="1:34" x14ac:dyDescent="0.25">
      <c r="A118" s="143">
        <v>44727</v>
      </c>
      <c r="B118">
        <v>16.419</v>
      </c>
      <c r="C118">
        <v>12.629</v>
      </c>
      <c r="D118">
        <v>4.6449999999999996</v>
      </c>
      <c r="E118">
        <v>18.306000000000001</v>
      </c>
      <c r="F118">
        <v>23.673999999999999</v>
      </c>
      <c r="G118">
        <v>3.5310000000000001</v>
      </c>
      <c r="H118">
        <v>3.32</v>
      </c>
      <c r="I118">
        <v>24.7</v>
      </c>
      <c r="J118">
        <v>28.617000000000001</v>
      </c>
      <c r="K118">
        <v>3.0179999999999998</v>
      </c>
      <c r="L118">
        <v>3.2829999999999999</v>
      </c>
      <c r="M118">
        <v>6.2069999999999999</v>
      </c>
      <c r="N118">
        <v>1.607</v>
      </c>
      <c r="O118">
        <v>6.8620000000000001</v>
      </c>
      <c r="P118">
        <v>30.312999999999999</v>
      </c>
      <c r="Q118">
        <v>17.963999999999999</v>
      </c>
      <c r="R118">
        <v>17.584</v>
      </c>
      <c r="S118">
        <v>1.835</v>
      </c>
      <c r="T118">
        <v>1.1499999999999999</v>
      </c>
      <c r="U118">
        <v>5.367</v>
      </c>
      <c r="V118">
        <v>2.3780000000000001</v>
      </c>
      <c r="W118">
        <v>14.792</v>
      </c>
      <c r="X118">
        <v>44.41</v>
      </c>
      <c r="Y118">
        <v>5.29</v>
      </c>
      <c r="Z118">
        <v>4.9969999999999999</v>
      </c>
      <c r="AB118">
        <v>2.3239999999999998</v>
      </c>
      <c r="AC118">
        <v>17.018000000000001</v>
      </c>
      <c r="AD118">
        <v>67.638000000000005</v>
      </c>
      <c r="AE118">
        <v>1.369</v>
      </c>
      <c r="AF118">
        <v>23.689</v>
      </c>
      <c r="AG118">
        <v>31.486999999999998</v>
      </c>
      <c r="AH118">
        <v>1.478</v>
      </c>
    </row>
    <row r="119" spans="1:34" x14ac:dyDescent="0.25">
      <c r="A119" s="143">
        <v>44728</v>
      </c>
      <c r="B119">
        <v>16.564</v>
      </c>
      <c r="C119">
        <v>12.65</v>
      </c>
      <c r="D119">
        <v>4.7080000000000002</v>
      </c>
      <c r="E119">
        <v>18.401</v>
      </c>
      <c r="F119">
        <v>24.393000000000001</v>
      </c>
      <c r="G119">
        <v>3.5430000000000001</v>
      </c>
      <c r="H119">
        <v>3.3260000000000001</v>
      </c>
      <c r="I119">
        <v>24.74</v>
      </c>
      <c r="J119">
        <v>28.923999999999999</v>
      </c>
      <c r="K119">
        <v>3.0310000000000001</v>
      </c>
      <c r="L119">
        <v>3.2869999999999999</v>
      </c>
      <c r="M119">
        <v>6.2130000000000001</v>
      </c>
      <c r="N119">
        <v>1.611</v>
      </c>
      <c r="O119">
        <v>6.8840000000000003</v>
      </c>
      <c r="P119">
        <v>30.475000000000001</v>
      </c>
      <c r="Q119">
        <v>17.992999999999999</v>
      </c>
      <c r="R119">
        <v>17.899000000000001</v>
      </c>
      <c r="S119">
        <v>1.837</v>
      </c>
      <c r="T119">
        <v>1.155</v>
      </c>
      <c r="U119">
        <v>5.4039999999999999</v>
      </c>
      <c r="V119">
        <v>2.3660000000000001</v>
      </c>
      <c r="W119">
        <v>14.898</v>
      </c>
      <c r="X119">
        <v>44.420999999999999</v>
      </c>
      <c r="Y119">
        <v>5.2489999999999997</v>
      </c>
      <c r="Z119">
        <v>5.0030000000000001</v>
      </c>
      <c r="AB119">
        <v>2.3130000000000002</v>
      </c>
      <c r="AC119">
        <v>17.12</v>
      </c>
      <c r="AD119">
        <v>67.664000000000001</v>
      </c>
      <c r="AE119">
        <v>1.3740000000000001</v>
      </c>
      <c r="AF119">
        <v>23.791</v>
      </c>
      <c r="AG119">
        <v>31.684999999999999</v>
      </c>
      <c r="AH119">
        <v>1.49</v>
      </c>
    </row>
    <row r="120" spans="1:34" x14ac:dyDescent="0.25">
      <c r="A120" s="143">
        <v>44729</v>
      </c>
      <c r="B120">
        <v>16.454000000000001</v>
      </c>
      <c r="C120">
        <v>12.653</v>
      </c>
      <c r="D120">
        <v>4.6020000000000003</v>
      </c>
      <c r="E120">
        <v>18.155000000000001</v>
      </c>
      <c r="F120">
        <v>24.491</v>
      </c>
      <c r="G120">
        <v>3.5219999999999998</v>
      </c>
      <c r="H120">
        <v>3.327</v>
      </c>
      <c r="I120">
        <v>24.745999999999999</v>
      </c>
      <c r="J120">
        <v>28.937999999999999</v>
      </c>
      <c r="K120">
        <v>3.0059999999999998</v>
      </c>
      <c r="L120">
        <v>3.29</v>
      </c>
      <c r="M120">
        <v>6.1779999999999999</v>
      </c>
      <c r="N120">
        <v>1.5920000000000001</v>
      </c>
      <c r="O120">
        <v>6.8529999999999998</v>
      </c>
      <c r="P120">
        <v>30.225999999999999</v>
      </c>
      <c r="Q120">
        <v>17.971</v>
      </c>
      <c r="R120">
        <v>17.524000000000001</v>
      </c>
      <c r="S120">
        <v>1.8240000000000001</v>
      </c>
      <c r="T120">
        <v>1.1539999999999999</v>
      </c>
      <c r="U120">
        <v>5.3609999999999998</v>
      </c>
      <c r="V120">
        <v>2.3679999999999999</v>
      </c>
      <c r="W120">
        <v>14.904999999999999</v>
      </c>
      <c r="X120">
        <v>43.899000000000001</v>
      </c>
      <c r="Y120">
        <v>5.2649999999999997</v>
      </c>
      <c r="Z120">
        <v>5.0019999999999998</v>
      </c>
      <c r="AB120">
        <v>2.3180000000000001</v>
      </c>
      <c r="AC120">
        <v>17.010999999999999</v>
      </c>
      <c r="AD120">
        <v>66.927000000000007</v>
      </c>
      <c r="AE120">
        <v>1.3640000000000001</v>
      </c>
      <c r="AF120">
        <v>23.599</v>
      </c>
      <c r="AG120">
        <v>31.370999999999999</v>
      </c>
      <c r="AH120">
        <v>1.4810000000000001</v>
      </c>
    </row>
    <row r="121" spans="1:34" x14ac:dyDescent="0.25">
      <c r="A121" s="143">
        <v>44732</v>
      </c>
      <c r="B121">
        <v>16.414999999999999</v>
      </c>
      <c r="C121">
        <v>12.638999999999999</v>
      </c>
      <c r="D121">
        <v>4.5679999999999996</v>
      </c>
      <c r="E121">
        <v>18.094999999999999</v>
      </c>
      <c r="F121">
        <v>24.33</v>
      </c>
      <c r="G121">
        <v>3.5150000000000001</v>
      </c>
      <c r="H121">
        <v>3.3239999999999998</v>
      </c>
      <c r="I121">
        <v>24.725000000000001</v>
      </c>
      <c r="J121">
        <v>28.831</v>
      </c>
      <c r="K121">
        <v>2.9940000000000002</v>
      </c>
      <c r="L121">
        <v>3.2890000000000001</v>
      </c>
      <c r="M121">
        <v>6.2160000000000002</v>
      </c>
      <c r="N121">
        <v>1.585</v>
      </c>
      <c r="O121">
        <v>6.7939999999999996</v>
      </c>
      <c r="P121">
        <v>30.15</v>
      </c>
      <c r="Q121">
        <v>18.007999999999999</v>
      </c>
      <c r="R121">
        <v>17.417999999999999</v>
      </c>
      <c r="S121">
        <v>1.821</v>
      </c>
      <c r="T121">
        <v>1.161</v>
      </c>
      <c r="U121">
        <v>5.34</v>
      </c>
      <c r="V121">
        <v>2.375</v>
      </c>
      <c r="W121">
        <v>14.94</v>
      </c>
      <c r="X121">
        <v>43.478000000000002</v>
      </c>
      <c r="Y121">
        <v>5.3150000000000004</v>
      </c>
      <c r="Z121">
        <v>5</v>
      </c>
      <c r="AB121">
        <v>2.3239999999999998</v>
      </c>
      <c r="AC121">
        <v>16.943999999999999</v>
      </c>
      <c r="AD121">
        <v>66.536000000000001</v>
      </c>
      <c r="AE121">
        <v>1.3560000000000001</v>
      </c>
      <c r="AF121">
        <v>23.504999999999999</v>
      </c>
      <c r="AG121">
        <v>31.385000000000002</v>
      </c>
      <c r="AH121">
        <v>1.466</v>
      </c>
    </row>
    <row r="122" spans="1:34" x14ac:dyDescent="0.25">
      <c r="A122" s="143">
        <v>44733</v>
      </c>
      <c r="B122">
        <v>16.268000000000001</v>
      </c>
      <c r="C122">
        <v>12.62</v>
      </c>
      <c r="D122">
        <v>4.5380000000000003</v>
      </c>
      <c r="E122">
        <v>18.071000000000002</v>
      </c>
      <c r="F122">
        <v>24.166</v>
      </c>
      <c r="G122">
        <v>3.4929999999999999</v>
      </c>
      <c r="H122">
        <v>3.3180000000000001</v>
      </c>
      <c r="I122">
        <v>24.684999999999999</v>
      </c>
      <c r="J122">
        <v>28.702000000000002</v>
      </c>
      <c r="K122">
        <v>2.98</v>
      </c>
      <c r="L122">
        <v>3.2829999999999999</v>
      </c>
      <c r="M122">
        <v>6.2270000000000003</v>
      </c>
      <c r="N122">
        <v>1.58</v>
      </c>
      <c r="O122">
        <v>6.7629999999999999</v>
      </c>
      <c r="P122">
        <v>29.943999999999999</v>
      </c>
      <c r="Q122">
        <v>17.797000000000001</v>
      </c>
      <c r="R122">
        <v>17.173999999999999</v>
      </c>
      <c r="S122">
        <v>1.8080000000000001</v>
      </c>
      <c r="T122">
        <v>1.161</v>
      </c>
      <c r="U122">
        <v>5.32</v>
      </c>
      <c r="V122">
        <v>2.39</v>
      </c>
      <c r="W122">
        <v>14.808</v>
      </c>
      <c r="X122">
        <v>43.073999999999998</v>
      </c>
      <c r="Y122">
        <v>5.3159999999999998</v>
      </c>
      <c r="Z122">
        <v>4.99</v>
      </c>
      <c r="AB122">
        <v>2.319</v>
      </c>
      <c r="AC122">
        <v>16.893000000000001</v>
      </c>
      <c r="AD122">
        <v>66.216999999999999</v>
      </c>
      <c r="AE122">
        <v>1.3480000000000001</v>
      </c>
      <c r="AF122">
        <v>23.396000000000001</v>
      </c>
      <c r="AG122">
        <v>31.239000000000001</v>
      </c>
      <c r="AH122">
        <v>1.4710000000000001</v>
      </c>
    </row>
    <row r="123" spans="1:34" x14ac:dyDescent="0.25">
      <c r="A123" s="143">
        <v>44734</v>
      </c>
      <c r="B123">
        <v>16.199000000000002</v>
      </c>
      <c r="C123">
        <v>12.632999999999999</v>
      </c>
      <c r="D123">
        <v>4.5490000000000004</v>
      </c>
      <c r="E123">
        <v>18.087</v>
      </c>
      <c r="F123">
        <v>24.338000000000001</v>
      </c>
      <c r="G123">
        <v>3.5</v>
      </c>
      <c r="H123">
        <v>3.3220000000000001</v>
      </c>
      <c r="I123">
        <v>24.71</v>
      </c>
      <c r="J123">
        <v>28.77</v>
      </c>
      <c r="K123">
        <v>2.992</v>
      </c>
      <c r="L123">
        <v>3.286</v>
      </c>
      <c r="M123">
        <v>6.24</v>
      </c>
      <c r="N123">
        <v>1.58</v>
      </c>
      <c r="O123">
        <v>6.782</v>
      </c>
      <c r="P123">
        <v>29.981999999999999</v>
      </c>
      <c r="Q123">
        <v>17.815000000000001</v>
      </c>
      <c r="R123">
        <v>17.268000000000001</v>
      </c>
      <c r="S123">
        <v>1.8049999999999999</v>
      </c>
      <c r="T123">
        <v>1.1679999999999999</v>
      </c>
      <c r="U123">
        <v>5.3310000000000004</v>
      </c>
      <c r="V123">
        <v>2.3519999999999999</v>
      </c>
      <c r="W123">
        <v>14.68</v>
      </c>
      <c r="X123">
        <v>43.213999999999999</v>
      </c>
      <c r="Y123">
        <v>5.2679999999999998</v>
      </c>
      <c r="Z123">
        <v>4.9950000000000001</v>
      </c>
      <c r="AB123">
        <v>2.3159999999999998</v>
      </c>
      <c r="AC123">
        <v>16.905000000000001</v>
      </c>
      <c r="AD123">
        <v>66.320999999999998</v>
      </c>
      <c r="AE123">
        <v>1.3540000000000001</v>
      </c>
      <c r="AF123">
        <v>23.484000000000002</v>
      </c>
      <c r="AG123">
        <v>31.370999999999999</v>
      </c>
      <c r="AH123">
        <v>1.4710000000000001</v>
      </c>
    </row>
    <row r="124" spans="1:34" x14ac:dyDescent="0.25">
      <c r="A124" s="143">
        <v>44735</v>
      </c>
      <c r="B124">
        <v>16.273</v>
      </c>
      <c r="C124">
        <v>12.654999999999999</v>
      </c>
      <c r="D124">
        <v>4.5389999999999997</v>
      </c>
      <c r="E124">
        <v>18.202999999999999</v>
      </c>
      <c r="F124">
        <v>24.439</v>
      </c>
      <c r="G124">
        <v>3.5179999999999998</v>
      </c>
      <c r="H124">
        <v>3.327</v>
      </c>
      <c r="I124">
        <v>24.75</v>
      </c>
      <c r="J124">
        <v>28.85</v>
      </c>
      <c r="K124">
        <v>3.0049999999999999</v>
      </c>
      <c r="L124">
        <v>3.2879999999999998</v>
      </c>
      <c r="M124">
        <v>6.1950000000000003</v>
      </c>
      <c r="N124">
        <v>1.59</v>
      </c>
      <c r="O124">
        <v>6.8390000000000004</v>
      </c>
      <c r="P124">
        <v>30.132000000000001</v>
      </c>
      <c r="Q124">
        <v>17.690999999999999</v>
      </c>
      <c r="R124">
        <v>17.422999999999998</v>
      </c>
      <c r="S124">
        <v>1.81</v>
      </c>
      <c r="T124">
        <v>1.1739999999999999</v>
      </c>
      <c r="U124">
        <v>5.3540000000000001</v>
      </c>
      <c r="V124">
        <v>2.363</v>
      </c>
      <c r="W124">
        <v>14.811999999999999</v>
      </c>
      <c r="X124">
        <v>43.093000000000004</v>
      </c>
      <c r="Y124">
        <v>5.2560000000000002</v>
      </c>
      <c r="Z124">
        <v>5.0030000000000001</v>
      </c>
      <c r="AB124">
        <v>2.3119999999999998</v>
      </c>
      <c r="AC124">
        <v>16.966999999999999</v>
      </c>
      <c r="AD124">
        <v>66.432000000000002</v>
      </c>
      <c r="AE124">
        <v>1.3580000000000001</v>
      </c>
      <c r="AF124">
        <v>23.588999999999999</v>
      </c>
      <c r="AG124">
        <v>31.456</v>
      </c>
      <c r="AH124">
        <v>1.472</v>
      </c>
    </row>
    <row r="125" spans="1:34" x14ac:dyDescent="0.25">
      <c r="A125" s="143">
        <v>44736</v>
      </c>
      <c r="B125">
        <v>16.216999999999999</v>
      </c>
      <c r="C125">
        <v>12.643000000000001</v>
      </c>
      <c r="D125">
        <v>4.51</v>
      </c>
      <c r="E125">
        <v>18.106999999999999</v>
      </c>
      <c r="F125">
        <v>24.552</v>
      </c>
      <c r="G125">
        <v>3.5110000000000001</v>
      </c>
      <c r="H125">
        <v>3.3239999999999998</v>
      </c>
      <c r="I125">
        <v>24.73</v>
      </c>
      <c r="J125">
        <v>28.829000000000001</v>
      </c>
      <c r="K125">
        <v>2.9940000000000002</v>
      </c>
      <c r="L125">
        <v>3.2839999999999998</v>
      </c>
      <c r="M125">
        <v>6.1630000000000003</v>
      </c>
      <c r="N125">
        <v>1.583</v>
      </c>
      <c r="O125">
        <v>6.8319999999999999</v>
      </c>
      <c r="P125">
        <v>30.015999999999998</v>
      </c>
      <c r="Q125">
        <v>17.702000000000002</v>
      </c>
      <c r="R125">
        <v>17.388999999999999</v>
      </c>
      <c r="S125">
        <v>1.8129999999999999</v>
      </c>
      <c r="T125">
        <v>1.1779999999999999</v>
      </c>
      <c r="U125">
        <v>5.3390000000000004</v>
      </c>
      <c r="V125">
        <v>2.37</v>
      </c>
      <c r="W125">
        <v>14.78</v>
      </c>
      <c r="X125">
        <v>42.76</v>
      </c>
      <c r="Y125">
        <v>5.2619999999999996</v>
      </c>
      <c r="Z125">
        <v>5</v>
      </c>
      <c r="AB125">
        <v>2.3119999999999998</v>
      </c>
      <c r="AC125">
        <v>16.916</v>
      </c>
      <c r="AD125">
        <v>66.191000000000003</v>
      </c>
      <c r="AE125">
        <v>1.353</v>
      </c>
      <c r="AF125">
        <v>23.501000000000001</v>
      </c>
      <c r="AG125">
        <v>31.335999999999999</v>
      </c>
      <c r="AH125">
        <v>1.4790000000000001</v>
      </c>
    </row>
    <row r="126" spans="1:34" x14ac:dyDescent="0.25">
      <c r="A126" s="143">
        <v>44739</v>
      </c>
      <c r="B126">
        <v>16.187000000000001</v>
      </c>
      <c r="C126">
        <v>12.643000000000001</v>
      </c>
      <c r="D126">
        <v>4.46</v>
      </c>
      <c r="E126">
        <v>18.13</v>
      </c>
      <c r="F126">
        <v>24.373999999999999</v>
      </c>
      <c r="G126">
        <v>3.496</v>
      </c>
      <c r="H126">
        <v>3.323</v>
      </c>
      <c r="I126">
        <v>24.725000000000001</v>
      </c>
      <c r="J126">
        <v>28.684000000000001</v>
      </c>
      <c r="K126">
        <v>2.9809999999999999</v>
      </c>
      <c r="L126">
        <v>3.2829999999999999</v>
      </c>
      <c r="M126">
        <v>6.14</v>
      </c>
      <c r="N126">
        <v>1.58</v>
      </c>
      <c r="O126">
        <v>6.867</v>
      </c>
      <c r="P126">
        <v>29.805</v>
      </c>
      <c r="Q126">
        <v>17.699000000000002</v>
      </c>
      <c r="R126">
        <v>17.263000000000002</v>
      </c>
      <c r="S126">
        <v>1.821</v>
      </c>
      <c r="T126">
        <v>1.1759999999999999</v>
      </c>
      <c r="U126">
        <v>5.3109999999999999</v>
      </c>
      <c r="V126">
        <v>2.3759999999999999</v>
      </c>
      <c r="W126">
        <v>14.715999999999999</v>
      </c>
      <c r="X126">
        <v>42.712000000000003</v>
      </c>
      <c r="Y126">
        <v>5.2619999999999996</v>
      </c>
      <c r="Z126">
        <v>5</v>
      </c>
      <c r="AB126">
        <v>2.3170000000000002</v>
      </c>
      <c r="AC126">
        <v>16.89</v>
      </c>
      <c r="AD126">
        <v>66.195999999999998</v>
      </c>
      <c r="AE126">
        <v>1.4139999999999999</v>
      </c>
      <c r="AF126">
        <v>23.391999999999999</v>
      </c>
      <c r="AG126">
        <v>31.251000000000001</v>
      </c>
      <c r="AH126">
        <v>1.472</v>
      </c>
    </row>
    <row r="127" spans="1:34" x14ac:dyDescent="0.25">
      <c r="A127" s="143">
        <v>44740</v>
      </c>
      <c r="B127">
        <v>16.257999999999999</v>
      </c>
      <c r="C127">
        <v>12.643000000000001</v>
      </c>
      <c r="D127">
        <v>4.4710000000000001</v>
      </c>
      <c r="E127">
        <v>18.23</v>
      </c>
      <c r="F127">
        <v>24.478000000000002</v>
      </c>
      <c r="G127">
        <v>3.4950000000000001</v>
      </c>
      <c r="H127">
        <v>3.3239999999999998</v>
      </c>
      <c r="I127">
        <v>24.725000000000001</v>
      </c>
      <c r="J127">
        <v>28.638999999999999</v>
      </c>
      <c r="K127">
        <v>2.984</v>
      </c>
      <c r="L127">
        <v>3.282</v>
      </c>
      <c r="M127">
        <v>6.2009999999999996</v>
      </c>
      <c r="N127">
        <v>1.5780000000000001</v>
      </c>
      <c r="O127">
        <v>6.8159999999999998</v>
      </c>
      <c r="P127">
        <v>29.646000000000001</v>
      </c>
      <c r="Q127">
        <v>17.724</v>
      </c>
      <c r="R127">
        <v>17.212</v>
      </c>
      <c r="S127">
        <v>1.8160000000000001</v>
      </c>
      <c r="T127">
        <v>1.1719999999999999</v>
      </c>
      <c r="U127">
        <v>5.3250000000000002</v>
      </c>
      <c r="V127">
        <v>2.3919999999999999</v>
      </c>
      <c r="W127">
        <v>14.701000000000001</v>
      </c>
      <c r="X127">
        <v>42.747999999999998</v>
      </c>
      <c r="Y127">
        <v>5.2709999999999999</v>
      </c>
      <c r="Z127">
        <v>5.0010000000000003</v>
      </c>
      <c r="AB127">
        <v>2.3210000000000002</v>
      </c>
      <c r="AC127">
        <v>16.884</v>
      </c>
      <c r="AD127">
        <v>66.56</v>
      </c>
      <c r="AE127">
        <v>1.4059999999999999</v>
      </c>
      <c r="AF127">
        <v>23.416</v>
      </c>
      <c r="AG127">
        <v>31.32</v>
      </c>
      <c r="AH127">
        <v>1.4630000000000001</v>
      </c>
    </row>
    <row r="128" spans="1:34" x14ac:dyDescent="0.25">
      <c r="A128" s="143">
        <v>44741</v>
      </c>
      <c r="B128">
        <v>16.22</v>
      </c>
      <c r="C128">
        <v>12.65</v>
      </c>
      <c r="D128">
        <v>4.4880000000000004</v>
      </c>
      <c r="E128">
        <v>18.309999999999999</v>
      </c>
      <c r="F128">
        <v>24.728000000000002</v>
      </c>
      <c r="G128">
        <v>3.5169999999999999</v>
      </c>
      <c r="H128">
        <v>3.3260000000000001</v>
      </c>
      <c r="I128">
        <v>24.74</v>
      </c>
      <c r="J128">
        <v>28.619</v>
      </c>
      <c r="K128">
        <v>2.9969999999999999</v>
      </c>
      <c r="L128">
        <v>3.286</v>
      </c>
      <c r="M128">
        <v>6.2759999999999998</v>
      </c>
      <c r="N128">
        <v>1.5840000000000001</v>
      </c>
      <c r="O128">
        <v>6.8079999999999998</v>
      </c>
      <c r="P128">
        <v>29.791</v>
      </c>
      <c r="Q128">
        <v>17.684000000000001</v>
      </c>
      <c r="R128">
        <v>17.239999999999998</v>
      </c>
      <c r="S128">
        <v>1.8140000000000001</v>
      </c>
      <c r="T128">
        <v>1.171</v>
      </c>
      <c r="U128">
        <v>5.3460000000000001</v>
      </c>
      <c r="V128">
        <v>2.4</v>
      </c>
      <c r="W128">
        <v>14.666</v>
      </c>
      <c r="X128">
        <v>42.819000000000003</v>
      </c>
      <c r="Y128">
        <v>5.28</v>
      </c>
      <c r="Z128">
        <v>5.0049999999999999</v>
      </c>
      <c r="AB128">
        <v>2.3159999999999998</v>
      </c>
      <c r="AC128">
        <v>16.937000000000001</v>
      </c>
      <c r="AD128">
        <v>66.986999999999995</v>
      </c>
      <c r="AE128">
        <v>1.4139999999999999</v>
      </c>
      <c r="AF128">
        <v>23.521999999999998</v>
      </c>
      <c r="AG128">
        <v>31.431999999999999</v>
      </c>
      <c r="AH128">
        <v>1.462</v>
      </c>
    </row>
    <row r="129" spans="1:34" x14ac:dyDescent="0.25">
      <c r="A129" s="143">
        <v>44742</v>
      </c>
      <c r="B129">
        <v>16.385999999999999</v>
      </c>
      <c r="C129">
        <v>12.648</v>
      </c>
      <c r="D129">
        <v>4.5629999999999997</v>
      </c>
      <c r="E129">
        <v>18.433</v>
      </c>
      <c r="F129">
        <v>24.84</v>
      </c>
      <c r="G129">
        <v>3.5539999999999998</v>
      </c>
      <c r="H129">
        <v>3.3260000000000001</v>
      </c>
      <c r="I129">
        <v>24.74</v>
      </c>
      <c r="J129">
        <v>28.83</v>
      </c>
      <c r="K129">
        <v>3.036</v>
      </c>
      <c r="L129">
        <v>3.2850000000000001</v>
      </c>
      <c r="M129">
        <v>6.2320000000000002</v>
      </c>
      <c r="N129">
        <v>1.599</v>
      </c>
      <c r="O129">
        <v>6.7990000000000004</v>
      </c>
      <c r="P129">
        <v>30.132000000000001</v>
      </c>
      <c r="Q129">
        <v>17.811</v>
      </c>
      <c r="R129">
        <v>17.484000000000002</v>
      </c>
      <c r="S129">
        <v>1.831</v>
      </c>
      <c r="T129">
        <v>1.18</v>
      </c>
      <c r="U129">
        <v>5.4050000000000002</v>
      </c>
      <c r="V129">
        <v>2.39</v>
      </c>
      <c r="W129">
        <v>14.81</v>
      </c>
      <c r="X129">
        <v>43.295000000000002</v>
      </c>
      <c r="Y129">
        <v>5.2759999999999998</v>
      </c>
      <c r="Z129">
        <v>5.0010000000000003</v>
      </c>
      <c r="AB129">
        <v>2.306</v>
      </c>
      <c r="AC129">
        <v>17.085999999999999</v>
      </c>
      <c r="AD129">
        <v>67.322000000000003</v>
      </c>
      <c r="AE129">
        <v>1.4279999999999999</v>
      </c>
      <c r="AF129">
        <v>23.821000000000002</v>
      </c>
      <c r="AG129">
        <v>31.75</v>
      </c>
      <c r="AH129">
        <v>1.4550000000000001</v>
      </c>
    </row>
    <row r="130" spans="1:34" x14ac:dyDescent="0.25">
      <c r="A130" s="143">
        <v>44743</v>
      </c>
      <c r="B130">
        <v>16.094000000000001</v>
      </c>
      <c r="C130">
        <v>12.657</v>
      </c>
      <c r="D130">
        <v>4.4909999999999997</v>
      </c>
      <c r="E130">
        <v>18.349</v>
      </c>
      <c r="F130">
        <v>24.693000000000001</v>
      </c>
      <c r="G130">
        <v>3.5430000000000001</v>
      </c>
      <c r="H130">
        <v>3.3279999999999998</v>
      </c>
      <c r="I130">
        <v>24.754999999999999</v>
      </c>
      <c r="J130">
        <v>28.57</v>
      </c>
      <c r="K130">
        <v>3.0259999999999998</v>
      </c>
      <c r="L130">
        <v>3.286</v>
      </c>
      <c r="M130">
        <v>6.1719999999999997</v>
      </c>
      <c r="N130">
        <v>1.59</v>
      </c>
      <c r="O130">
        <v>6.742</v>
      </c>
      <c r="P130">
        <v>30.052</v>
      </c>
      <c r="Q130">
        <v>17.847999999999999</v>
      </c>
      <c r="R130">
        <v>17.550999999999998</v>
      </c>
      <c r="S130">
        <v>1.83</v>
      </c>
      <c r="T130">
        <v>1.1719999999999999</v>
      </c>
      <c r="U130">
        <v>5.3879999999999999</v>
      </c>
      <c r="V130">
        <v>2.3889999999999998</v>
      </c>
      <c r="W130">
        <v>14.622999999999999</v>
      </c>
      <c r="X130">
        <v>43.09</v>
      </c>
      <c r="Y130">
        <v>5.2480000000000002</v>
      </c>
      <c r="Z130">
        <v>5.0049999999999999</v>
      </c>
      <c r="AB130">
        <v>2.2970000000000002</v>
      </c>
      <c r="AC130">
        <v>16.997</v>
      </c>
      <c r="AD130">
        <v>66.572000000000003</v>
      </c>
      <c r="AE130">
        <v>1.4179999999999999</v>
      </c>
      <c r="AF130">
        <v>23.747</v>
      </c>
      <c r="AG130">
        <v>31.530999999999999</v>
      </c>
      <c r="AH130">
        <v>1.4450000000000001</v>
      </c>
    </row>
    <row r="131" spans="1:34" x14ac:dyDescent="0.25">
      <c r="A131" s="143">
        <v>44746</v>
      </c>
      <c r="B131">
        <v>16.274000000000001</v>
      </c>
      <c r="C131">
        <v>12.65</v>
      </c>
      <c r="D131">
        <v>4.4470000000000001</v>
      </c>
      <c r="E131">
        <v>18.417000000000002</v>
      </c>
      <c r="F131">
        <v>24.652000000000001</v>
      </c>
      <c r="G131">
        <v>3.5369999999999999</v>
      </c>
      <c r="H131">
        <v>3.3260000000000001</v>
      </c>
      <c r="I131">
        <v>24.745000000000001</v>
      </c>
      <c r="J131">
        <v>28.783000000000001</v>
      </c>
      <c r="K131">
        <v>3.016</v>
      </c>
      <c r="L131">
        <v>3.2869999999999999</v>
      </c>
      <c r="M131">
        <v>6.16</v>
      </c>
      <c r="N131">
        <v>1.581</v>
      </c>
      <c r="O131">
        <v>6.75</v>
      </c>
      <c r="P131">
        <v>29.991</v>
      </c>
      <c r="Q131">
        <v>17.763999999999999</v>
      </c>
      <c r="R131">
        <v>17.486000000000001</v>
      </c>
      <c r="S131">
        <v>1.8280000000000001</v>
      </c>
      <c r="T131">
        <v>1.167</v>
      </c>
      <c r="U131">
        <v>5.3630000000000004</v>
      </c>
      <c r="V131">
        <v>2.4039999999999999</v>
      </c>
      <c r="W131">
        <v>14.773999999999999</v>
      </c>
      <c r="X131">
        <v>43.045000000000002</v>
      </c>
      <c r="Y131">
        <v>5.2530000000000001</v>
      </c>
      <c r="Z131">
        <v>5.0049999999999999</v>
      </c>
      <c r="AB131">
        <v>2.2989999999999999</v>
      </c>
      <c r="AC131">
        <v>16.963000000000001</v>
      </c>
      <c r="AD131">
        <v>66.338999999999999</v>
      </c>
      <c r="AE131">
        <v>1.4059999999999999</v>
      </c>
      <c r="AF131">
        <v>23.667999999999999</v>
      </c>
      <c r="AG131">
        <v>31.475999999999999</v>
      </c>
      <c r="AH131">
        <v>1.4530000000000001</v>
      </c>
    </row>
    <row r="132" spans="1:34" x14ac:dyDescent="0.25">
      <c r="A132" s="143">
        <v>44749</v>
      </c>
      <c r="B132">
        <v>16.649999999999999</v>
      </c>
      <c r="C132">
        <v>12.67</v>
      </c>
      <c r="D132">
        <v>4.5090000000000003</v>
      </c>
      <c r="E132">
        <v>18.734999999999999</v>
      </c>
      <c r="F132">
        <v>25.015000000000001</v>
      </c>
      <c r="G132">
        <v>3.6339999999999999</v>
      </c>
      <c r="H132">
        <v>3.33</v>
      </c>
      <c r="I132">
        <v>24.78</v>
      </c>
      <c r="J132">
        <v>29.117000000000001</v>
      </c>
      <c r="K132">
        <v>3.1019999999999999</v>
      </c>
      <c r="L132">
        <v>3.2949999999999999</v>
      </c>
      <c r="M132">
        <v>6.0449999999999999</v>
      </c>
      <c r="N132">
        <v>1.623</v>
      </c>
      <c r="O132">
        <v>6.9710000000000001</v>
      </c>
      <c r="P132">
        <v>30.747</v>
      </c>
      <c r="Q132">
        <v>17.789000000000001</v>
      </c>
      <c r="R132">
        <v>17.942</v>
      </c>
      <c r="S132">
        <v>1.871</v>
      </c>
      <c r="T132">
        <v>1.1819999999999999</v>
      </c>
      <c r="U132">
        <v>5.4980000000000002</v>
      </c>
      <c r="V132">
        <v>2.4079999999999999</v>
      </c>
      <c r="W132">
        <v>15.052</v>
      </c>
      <c r="X132">
        <v>43.524999999999999</v>
      </c>
      <c r="Y132">
        <v>5.1909999999999998</v>
      </c>
      <c r="Z132">
        <v>5.01</v>
      </c>
      <c r="AB132">
        <v>2.3109999999999999</v>
      </c>
      <c r="AC132">
        <v>17.384</v>
      </c>
      <c r="AD132">
        <v>67.492000000000004</v>
      </c>
      <c r="AE132">
        <v>1.4119999999999999</v>
      </c>
      <c r="AF132">
        <v>24.344000000000001</v>
      </c>
      <c r="AG132">
        <v>32.103999999999999</v>
      </c>
      <c r="AH132">
        <v>1.4550000000000001</v>
      </c>
    </row>
    <row r="133" spans="1:34" x14ac:dyDescent="0.25">
      <c r="A133" s="143">
        <v>44750</v>
      </c>
      <c r="B133">
        <v>16.559999999999999</v>
      </c>
      <c r="C133">
        <v>12.589</v>
      </c>
      <c r="D133">
        <v>4.532</v>
      </c>
      <c r="E133">
        <v>18.652999999999999</v>
      </c>
      <c r="F133">
        <v>24.838000000000001</v>
      </c>
      <c r="G133">
        <v>3.6179999999999999</v>
      </c>
      <c r="H133">
        <v>3.3090000000000002</v>
      </c>
      <c r="I133">
        <v>24.625</v>
      </c>
      <c r="J133">
        <v>29.117000000000001</v>
      </c>
      <c r="K133">
        <v>3.0859999999999999</v>
      </c>
      <c r="L133">
        <v>3.2749999999999999</v>
      </c>
      <c r="M133">
        <v>6.1180000000000003</v>
      </c>
      <c r="N133">
        <v>1.617</v>
      </c>
      <c r="O133">
        <v>6.9720000000000004</v>
      </c>
      <c r="P133">
        <v>30.571999999999999</v>
      </c>
      <c r="Q133">
        <v>17.652000000000001</v>
      </c>
      <c r="R133">
        <v>17.832999999999998</v>
      </c>
      <c r="S133">
        <v>1.863</v>
      </c>
      <c r="T133">
        <v>1.181</v>
      </c>
      <c r="U133">
        <v>5.4720000000000004</v>
      </c>
      <c r="V133">
        <v>2.4</v>
      </c>
      <c r="W133">
        <v>14.958</v>
      </c>
      <c r="X133">
        <v>43.28</v>
      </c>
      <c r="Y133">
        <v>5.17</v>
      </c>
      <c r="Z133">
        <v>4.9820000000000002</v>
      </c>
      <c r="AB133">
        <v>2.3079999999999998</v>
      </c>
      <c r="AC133">
        <v>17.303999999999998</v>
      </c>
      <c r="AD133">
        <v>67.298000000000002</v>
      </c>
      <c r="AE133">
        <v>1.399</v>
      </c>
      <c r="AF133">
        <v>24.224</v>
      </c>
      <c r="AG133">
        <v>31.949000000000002</v>
      </c>
      <c r="AH133">
        <v>1.4319999999999999</v>
      </c>
    </row>
    <row r="134" spans="1:34" x14ac:dyDescent="0.25">
      <c r="A134" s="143">
        <v>44753</v>
      </c>
      <c r="B134">
        <v>16.494</v>
      </c>
      <c r="C134">
        <v>12.571999999999999</v>
      </c>
      <c r="D134">
        <v>4.585</v>
      </c>
      <c r="E134">
        <v>18.716999999999999</v>
      </c>
      <c r="F134">
        <v>24.818000000000001</v>
      </c>
      <c r="G134">
        <v>3.6280000000000001</v>
      </c>
      <c r="H134">
        <v>3.3050000000000002</v>
      </c>
      <c r="I134">
        <v>24.59</v>
      </c>
      <c r="J134">
        <v>29.085999999999999</v>
      </c>
      <c r="K134">
        <v>3.1019999999999999</v>
      </c>
      <c r="L134">
        <v>3.2709999999999999</v>
      </c>
      <c r="M134">
        <v>6.0229999999999997</v>
      </c>
      <c r="N134">
        <v>1.6259999999999999</v>
      </c>
      <c r="O134">
        <v>7</v>
      </c>
      <c r="P134">
        <v>30.643999999999998</v>
      </c>
      <c r="Q134">
        <v>17.652999999999999</v>
      </c>
      <c r="R134">
        <v>17.721</v>
      </c>
      <c r="S134">
        <v>1.8620000000000001</v>
      </c>
      <c r="T134">
        <v>1.1830000000000001</v>
      </c>
      <c r="U134">
        <v>5.5010000000000003</v>
      </c>
      <c r="V134">
        <v>2.3879999999999999</v>
      </c>
      <c r="W134">
        <v>14.938000000000001</v>
      </c>
      <c r="X134">
        <v>43.466000000000001</v>
      </c>
      <c r="Y134">
        <v>5.1260000000000003</v>
      </c>
      <c r="Z134">
        <v>4.9740000000000002</v>
      </c>
      <c r="AB134">
        <v>2.2999999999999998</v>
      </c>
      <c r="AC134">
        <v>17.344000000000001</v>
      </c>
      <c r="AD134">
        <v>67.222999999999999</v>
      </c>
      <c r="AE134">
        <v>1.4019999999999999</v>
      </c>
      <c r="AF134">
        <v>24.350999999999999</v>
      </c>
      <c r="AG134">
        <v>32.070999999999998</v>
      </c>
      <c r="AH134">
        <v>1.4330000000000001</v>
      </c>
    </row>
    <row r="135" spans="1:34" x14ac:dyDescent="0.25">
      <c r="A135" s="143">
        <v>44754</v>
      </c>
      <c r="B135">
        <v>16.497</v>
      </c>
      <c r="C135">
        <v>12.569000000000001</v>
      </c>
      <c r="D135">
        <v>4.55</v>
      </c>
      <c r="E135">
        <v>18.773</v>
      </c>
      <c r="F135">
        <v>24.870999999999999</v>
      </c>
      <c r="G135">
        <v>3.6419999999999999</v>
      </c>
      <c r="H135">
        <v>3.3029999999999999</v>
      </c>
      <c r="I135">
        <v>24.58</v>
      </c>
      <c r="J135">
        <v>28.98</v>
      </c>
      <c r="K135">
        <v>3.1179999999999999</v>
      </c>
      <c r="L135">
        <v>3.27</v>
      </c>
      <c r="M135">
        <v>5.9950000000000001</v>
      </c>
      <c r="N135">
        <v>1.633</v>
      </c>
      <c r="O135">
        <v>7.0250000000000004</v>
      </c>
      <c r="P135">
        <v>30.757999999999999</v>
      </c>
      <c r="Q135">
        <v>17.670999999999999</v>
      </c>
      <c r="R135">
        <v>17.902000000000001</v>
      </c>
      <c r="S135">
        <v>1.869</v>
      </c>
      <c r="T135">
        <v>1.1759999999999999</v>
      </c>
      <c r="U135">
        <v>5.516</v>
      </c>
      <c r="V135">
        <v>2.3919999999999999</v>
      </c>
      <c r="W135">
        <v>14.992000000000001</v>
      </c>
      <c r="X135">
        <v>43.389000000000003</v>
      </c>
      <c r="Y135">
        <v>5.101</v>
      </c>
      <c r="Z135">
        <v>4.9740000000000002</v>
      </c>
      <c r="AB135">
        <v>2.3130000000000002</v>
      </c>
      <c r="AC135">
        <v>17.399999999999999</v>
      </c>
      <c r="AD135">
        <v>67.540000000000006</v>
      </c>
      <c r="AE135">
        <v>1.409</v>
      </c>
      <c r="AF135">
        <v>24.475999999999999</v>
      </c>
      <c r="AG135">
        <v>32.183</v>
      </c>
      <c r="AH135">
        <v>1.4330000000000001</v>
      </c>
    </row>
    <row r="136" spans="1:34" x14ac:dyDescent="0.25">
      <c r="A136" s="143">
        <v>44755</v>
      </c>
      <c r="B136">
        <v>16.481999999999999</v>
      </c>
      <c r="C136">
        <v>12.476000000000001</v>
      </c>
      <c r="D136">
        <v>4.4720000000000004</v>
      </c>
      <c r="E136">
        <v>18.666</v>
      </c>
      <c r="F136">
        <v>24.827000000000002</v>
      </c>
      <c r="G136">
        <v>3.6059999999999999</v>
      </c>
      <c r="H136">
        <v>3.2789999999999999</v>
      </c>
      <c r="I136">
        <v>24.4</v>
      </c>
      <c r="J136">
        <v>28.914999999999999</v>
      </c>
      <c r="K136">
        <v>3.0880000000000001</v>
      </c>
      <c r="L136">
        <v>3.2480000000000002</v>
      </c>
      <c r="M136">
        <v>5.96</v>
      </c>
      <c r="N136">
        <v>1.6180000000000001</v>
      </c>
      <c r="O136">
        <v>7</v>
      </c>
      <c r="P136">
        <v>30.459</v>
      </c>
      <c r="Q136">
        <v>17.643000000000001</v>
      </c>
      <c r="R136">
        <v>17.681000000000001</v>
      </c>
      <c r="S136">
        <v>1.861</v>
      </c>
      <c r="T136">
        <v>1.167</v>
      </c>
      <c r="U136">
        <v>5.4640000000000004</v>
      </c>
      <c r="V136">
        <v>2.3820000000000001</v>
      </c>
      <c r="W136">
        <v>14.922000000000001</v>
      </c>
      <c r="X136">
        <v>43.067999999999998</v>
      </c>
      <c r="Y136">
        <v>5.0579999999999998</v>
      </c>
      <c r="Z136">
        <v>4.9370000000000003</v>
      </c>
      <c r="AB136">
        <v>2.302</v>
      </c>
      <c r="AC136">
        <v>17.266999999999999</v>
      </c>
      <c r="AD136">
        <v>67.087999999999994</v>
      </c>
      <c r="AE136">
        <v>1.389</v>
      </c>
      <c r="AF136">
        <v>24.244</v>
      </c>
      <c r="AG136">
        <v>31.753</v>
      </c>
      <c r="AH136">
        <v>1.431</v>
      </c>
    </row>
    <row r="137" spans="1:34" x14ac:dyDescent="0.25">
      <c r="A137" s="143">
        <v>44756</v>
      </c>
      <c r="B137">
        <v>16.393000000000001</v>
      </c>
      <c r="C137">
        <v>12.481</v>
      </c>
      <c r="D137">
        <v>4.4690000000000003</v>
      </c>
      <c r="E137">
        <v>18.547000000000001</v>
      </c>
      <c r="F137">
        <v>24.806000000000001</v>
      </c>
      <c r="G137">
        <v>3.6110000000000002</v>
      </c>
      <c r="H137">
        <v>3.2810000000000001</v>
      </c>
      <c r="I137">
        <v>24.414999999999999</v>
      </c>
      <c r="J137">
        <v>28.873999999999999</v>
      </c>
      <c r="K137">
        <v>3.1080000000000001</v>
      </c>
      <c r="L137">
        <v>3.25</v>
      </c>
      <c r="M137">
        <v>5.9729999999999999</v>
      </c>
      <c r="N137">
        <v>1.627</v>
      </c>
      <c r="O137">
        <v>6.992</v>
      </c>
      <c r="P137">
        <v>30.488</v>
      </c>
      <c r="Q137">
        <v>17.577000000000002</v>
      </c>
      <c r="R137">
        <v>17.553000000000001</v>
      </c>
      <c r="S137">
        <v>1.8460000000000001</v>
      </c>
      <c r="T137">
        <v>1.165</v>
      </c>
      <c r="U137">
        <v>5.49</v>
      </c>
      <c r="V137">
        <v>2.3809999999999998</v>
      </c>
      <c r="W137">
        <v>14.853</v>
      </c>
      <c r="X137">
        <v>43.155999999999999</v>
      </c>
      <c r="Y137">
        <v>5.0720000000000001</v>
      </c>
      <c r="Z137">
        <v>4.9409999999999998</v>
      </c>
      <c r="AB137">
        <v>2.3029999999999999</v>
      </c>
      <c r="AC137">
        <v>17.358000000000001</v>
      </c>
      <c r="AD137">
        <v>66.643000000000001</v>
      </c>
      <c r="AE137">
        <v>1.3959999999999999</v>
      </c>
      <c r="AF137">
        <v>24.399000000000001</v>
      </c>
      <c r="AG137">
        <v>32.011000000000003</v>
      </c>
      <c r="AH137">
        <v>1.419</v>
      </c>
    </row>
    <row r="138" spans="1:34" x14ac:dyDescent="0.25">
      <c r="A138" s="143">
        <v>44757</v>
      </c>
      <c r="B138">
        <v>16.5</v>
      </c>
      <c r="C138">
        <v>12.561</v>
      </c>
      <c r="D138">
        <v>4.5140000000000002</v>
      </c>
      <c r="E138">
        <v>18.681000000000001</v>
      </c>
      <c r="F138">
        <v>24.937000000000001</v>
      </c>
      <c r="G138">
        <v>3.6150000000000002</v>
      </c>
      <c r="H138">
        <v>3.3</v>
      </c>
      <c r="I138">
        <v>24.565000000000001</v>
      </c>
      <c r="J138">
        <v>28.898</v>
      </c>
      <c r="K138">
        <v>3.11</v>
      </c>
      <c r="L138">
        <v>3.2679999999999998</v>
      </c>
      <c r="M138">
        <v>6.0890000000000004</v>
      </c>
      <c r="N138">
        <v>1.6279999999999999</v>
      </c>
      <c r="O138">
        <v>7.008</v>
      </c>
      <c r="P138">
        <v>30.576000000000001</v>
      </c>
      <c r="Q138">
        <v>17.684999999999999</v>
      </c>
      <c r="R138">
        <v>17.608000000000001</v>
      </c>
      <c r="S138">
        <v>1.841</v>
      </c>
      <c r="T138">
        <v>1.1739999999999999</v>
      </c>
      <c r="U138">
        <v>5.4870000000000001</v>
      </c>
      <c r="V138">
        <v>2.39</v>
      </c>
      <c r="W138">
        <v>14.996</v>
      </c>
      <c r="X138">
        <v>43.326999999999998</v>
      </c>
      <c r="Y138">
        <v>5.1230000000000002</v>
      </c>
      <c r="Z138">
        <v>4.9710000000000001</v>
      </c>
      <c r="AB138">
        <v>2.3180000000000001</v>
      </c>
      <c r="AC138">
        <v>17.399999999999999</v>
      </c>
      <c r="AD138">
        <v>66.599999999999994</v>
      </c>
      <c r="AE138">
        <v>1.4</v>
      </c>
      <c r="AF138">
        <v>24.414000000000001</v>
      </c>
      <c r="AG138">
        <v>31.920999999999999</v>
      </c>
      <c r="AH138">
        <v>1.421</v>
      </c>
    </row>
    <row r="139" spans="1:34" x14ac:dyDescent="0.25">
      <c r="A139" s="143">
        <v>44760</v>
      </c>
      <c r="B139">
        <v>16.516999999999999</v>
      </c>
      <c r="C139">
        <v>12.532999999999999</v>
      </c>
      <c r="D139">
        <v>4.4969999999999999</v>
      </c>
      <c r="E139">
        <v>18.638000000000002</v>
      </c>
      <c r="F139">
        <v>24.731999999999999</v>
      </c>
      <c r="G139">
        <v>3.5910000000000002</v>
      </c>
      <c r="H139">
        <v>3.2930000000000001</v>
      </c>
      <c r="I139">
        <v>24.51</v>
      </c>
      <c r="J139">
        <v>28.939</v>
      </c>
      <c r="K139">
        <v>3.0819999999999999</v>
      </c>
      <c r="L139">
        <v>3.2629999999999999</v>
      </c>
      <c r="M139">
        <v>6.0949999999999998</v>
      </c>
      <c r="N139">
        <v>1.615</v>
      </c>
      <c r="O139">
        <v>7.0019999999999998</v>
      </c>
      <c r="P139">
        <v>30.247</v>
      </c>
      <c r="Q139">
        <v>17.646000000000001</v>
      </c>
      <c r="R139">
        <v>17.486999999999998</v>
      </c>
      <c r="S139">
        <v>1.8380000000000001</v>
      </c>
      <c r="T139">
        <v>1.1830000000000001</v>
      </c>
      <c r="U139">
        <v>5.4329999999999998</v>
      </c>
      <c r="V139">
        <v>2.39</v>
      </c>
      <c r="W139">
        <v>14.914999999999999</v>
      </c>
      <c r="X139">
        <v>42.957999999999998</v>
      </c>
      <c r="Y139">
        <v>5.1310000000000002</v>
      </c>
      <c r="Z139">
        <v>4.9619999999999997</v>
      </c>
      <c r="AB139">
        <v>2.3290000000000002</v>
      </c>
      <c r="AC139">
        <v>17.318000000000001</v>
      </c>
      <c r="AD139">
        <v>66.015000000000001</v>
      </c>
      <c r="AE139">
        <v>1.383</v>
      </c>
      <c r="AF139">
        <v>24.193000000000001</v>
      </c>
      <c r="AG139">
        <v>31.675999999999998</v>
      </c>
      <c r="AH139">
        <v>1.41</v>
      </c>
    </row>
    <row r="140" spans="1:34" x14ac:dyDescent="0.25">
      <c r="A140" s="143">
        <v>44761</v>
      </c>
      <c r="B140">
        <v>16.513999999999999</v>
      </c>
      <c r="C140">
        <v>12.553000000000001</v>
      </c>
      <c r="D140">
        <v>4.431</v>
      </c>
      <c r="E140">
        <v>18.513999999999999</v>
      </c>
      <c r="F140">
        <v>24.754999999999999</v>
      </c>
      <c r="G140">
        <v>3.556</v>
      </c>
      <c r="H140">
        <v>3.298</v>
      </c>
      <c r="I140">
        <v>24.555</v>
      </c>
      <c r="J140">
        <v>28.783000000000001</v>
      </c>
      <c r="K140">
        <v>3.0539999999999998</v>
      </c>
      <c r="L140">
        <v>3.27</v>
      </c>
      <c r="M140">
        <v>6.1790000000000003</v>
      </c>
      <c r="N140">
        <v>1.6</v>
      </c>
      <c r="O140">
        <v>6.9560000000000004</v>
      </c>
      <c r="P140">
        <v>29.986999999999998</v>
      </c>
      <c r="Q140">
        <v>17.678000000000001</v>
      </c>
      <c r="R140">
        <v>17.411000000000001</v>
      </c>
      <c r="S140">
        <v>1.8320000000000001</v>
      </c>
      <c r="T140">
        <v>1.177</v>
      </c>
      <c r="U140">
        <v>5.3869999999999996</v>
      </c>
      <c r="V140">
        <v>2.4129999999999998</v>
      </c>
      <c r="W140">
        <v>14.919</v>
      </c>
      <c r="X140">
        <v>42.646999999999998</v>
      </c>
      <c r="Y140">
        <v>5.1589999999999998</v>
      </c>
      <c r="Z140">
        <v>4.97</v>
      </c>
      <c r="AB140">
        <v>2.339</v>
      </c>
      <c r="AC140">
        <v>17.21</v>
      </c>
      <c r="AD140">
        <v>65.563999999999993</v>
      </c>
      <c r="AE140">
        <v>1.363</v>
      </c>
      <c r="AF140">
        <v>23.97</v>
      </c>
      <c r="AG140">
        <v>31.527000000000001</v>
      </c>
      <c r="AH140">
        <v>1.4059999999999999</v>
      </c>
    </row>
    <row r="141" spans="1:34" x14ac:dyDescent="0.25">
      <c r="A141" s="143">
        <v>44762</v>
      </c>
      <c r="B141">
        <v>16.584</v>
      </c>
      <c r="C141">
        <v>12.522</v>
      </c>
      <c r="D141">
        <v>4.42</v>
      </c>
      <c r="E141">
        <v>18.651</v>
      </c>
      <c r="F141">
        <v>24.751000000000001</v>
      </c>
      <c r="G141">
        <v>3.556</v>
      </c>
      <c r="H141">
        <v>3.29</v>
      </c>
      <c r="I141">
        <v>24.49</v>
      </c>
      <c r="J141">
        <v>28.747</v>
      </c>
      <c r="K141">
        <v>3.0590000000000002</v>
      </c>
      <c r="L141">
        <v>3.2589999999999999</v>
      </c>
      <c r="M141">
        <v>6.13</v>
      </c>
      <c r="N141">
        <v>1.6020000000000001</v>
      </c>
      <c r="O141">
        <v>6.9649999999999999</v>
      </c>
      <c r="P141">
        <v>30.01</v>
      </c>
      <c r="Q141">
        <v>17.556000000000001</v>
      </c>
      <c r="R141">
        <v>17.379000000000001</v>
      </c>
      <c r="S141">
        <v>1.831</v>
      </c>
      <c r="T141">
        <v>1.1719999999999999</v>
      </c>
      <c r="U141">
        <v>5.3940000000000001</v>
      </c>
      <c r="V141">
        <v>2.4169999999999998</v>
      </c>
      <c r="W141">
        <v>15.016</v>
      </c>
      <c r="X141">
        <v>42.665999999999997</v>
      </c>
      <c r="Y141">
        <v>5.1230000000000002</v>
      </c>
      <c r="Z141">
        <v>4.9580000000000002</v>
      </c>
      <c r="AB141">
        <v>2.3410000000000002</v>
      </c>
      <c r="AC141">
        <v>17.242000000000001</v>
      </c>
      <c r="AD141">
        <v>65.534999999999997</v>
      </c>
      <c r="AE141">
        <v>1.365</v>
      </c>
      <c r="AF141">
        <v>24.012</v>
      </c>
      <c r="AG141">
        <v>31.698</v>
      </c>
      <c r="AH141">
        <v>1.4079999999999999</v>
      </c>
    </row>
    <row r="142" spans="1:34" x14ac:dyDescent="0.25">
      <c r="A142" s="143">
        <v>44763</v>
      </c>
      <c r="B142">
        <v>16.466000000000001</v>
      </c>
      <c r="C142">
        <v>12.534000000000001</v>
      </c>
      <c r="D142">
        <v>4.3879999999999999</v>
      </c>
      <c r="E142">
        <v>18.556000000000001</v>
      </c>
      <c r="F142">
        <v>24.683</v>
      </c>
      <c r="G142">
        <v>3.5409999999999999</v>
      </c>
      <c r="H142">
        <v>3.2909999999999999</v>
      </c>
      <c r="I142">
        <v>24.5</v>
      </c>
      <c r="J142">
        <v>28.597000000000001</v>
      </c>
      <c r="K142">
        <v>3.0529999999999999</v>
      </c>
      <c r="L142">
        <v>3.26</v>
      </c>
      <c r="M142">
        <v>6.1239999999999997</v>
      </c>
      <c r="N142">
        <v>1.5940000000000001</v>
      </c>
      <c r="O142">
        <v>6.9470000000000001</v>
      </c>
      <c r="P142">
        <v>30.010999999999999</v>
      </c>
      <c r="Q142">
        <v>17.538</v>
      </c>
      <c r="R142">
        <v>17.268000000000001</v>
      </c>
      <c r="S142">
        <v>1.827</v>
      </c>
      <c r="T142">
        <v>1.1679999999999999</v>
      </c>
      <c r="U142">
        <v>5.3769999999999998</v>
      </c>
      <c r="V142">
        <v>2.4119999999999999</v>
      </c>
      <c r="W142">
        <v>14.845000000000001</v>
      </c>
      <c r="X142">
        <v>42.496000000000002</v>
      </c>
      <c r="Y142">
        <v>5.1449999999999996</v>
      </c>
      <c r="Z142">
        <v>4.96</v>
      </c>
      <c r="AB142">
        <v>2.3479999999999999</v>
      </c>
      <c r="AC142">
        <v>17.21</v>
      </c>
      <c r="AD142">
        <v>64.944999999999993</v>
      </c>
      <c r="AE142">
        <v>1.355</v>
      </c>
      <c r="AF142">
        <v>23.963000000000001</v>
      </c>
      <c r="AG142">
        <v>31.545999999999999</v>
      </c>
      <c r="AH142">
        <v>1.397</v>
      </c>
    </row>
    <row r="143" spans="1:34" x14ac:dyDescent="0.25">
      <c r="A143" s="143">
        <v>44764</v>
      </c>
      <c r="B143">
        <v>16.707999999999998</v>
      </c>
      <c r="C143">
        <v>12.536</v>
      </c>
      <c r="D143">
        <v>4.3940000000000001</v>
      </c>
      <c r="E143">
        <v>18.715</v>
      </c>
      <c r="F143">
        <v>24.937999999999999</v>
      </c>
      <c r="G143">
        <v>3.5619999999999998</v>
      </c>
      <c r="H143">
        <v>3.294</v>
      </c>
      <c r="I143">
        <v>24.52</v>
      </c>
      <c r="J143">
        <v>28.8</v>
      </c>
      <c r="K143">
        <v>3.0659999999999998</v>
      </c>
      <c r="L143">
        <v>3.2589999999999999</v>
      </c>
      <c r="M143">
        <v>6.1539999999999999</v>
      </c>
      <c r="N143">
        <v>1.6020000000000001</v>
      </c>
      <c r="O143">
        <v>6.9889999999999999</v>
      </c>
      <c r="P143">
        <v>30.132000000000001</v>
      </c>
      <c r="Q143">
        <v>17.577000000000002</v>
      </c>
      <c r="R143">
        <v>17.579000000000001</v>
      </c>
      <c r="S143">
        <v>1.8360000000000001</v>
      </c>
      <c r="T143">
        <v>1.17</v>
      </c>
      <c r="U143">
        <v>5.4050000000000002</v>
      </c>
      <c r="V143">
        <v>2.4159999999999999</v>
      </c>
      <c r="W143">
        <v>15.079000000000001</v>
      </c>
      <c r="X143">
        <v>42.854999999999997</v>
      </c>
      <c r="Y143">
        <v>5.16</v>
      </c>
      <c r="Z143">
        <v>4.9720000000000004</v>
      </c>
      <c r="AB143">
        <v>2.3490000000000002</v>
      </c>
      <c r="AC143">
        <v>17.327000000000002</v>
      </c>
      <c r="AD143">
        <v>65.581999999999994</v>
      </c>
      <c r="AE143">
        <v>1.355</v>
      </c>
      <c r="AF143">
        <v>24.065000000000001</v>
      </c>
      <c r="AG143">
        <v>31.652000000000001</v>
      </c>
      <c r="AH143">
        <v>1.4259999999999999</v>
      </c>
    </row>
    <row r="144" spans="1:34" x14ac:dyDescent="0.25">
      <c r="A144" s="143">
        <v>44767</v>
      </c>
      <c r="B144">
        <v>16.68</v>
      </c>
      <c r="C144">
        <v>12.545999999999999</v>
      </c>
      <c r="D144">
        <v>4.3840000000000003</v>
      </c>
      <c r="E144">
        <v>18.632000000000001</v>
      </c>
      <c r="F144">
        <v>24.861000000000001</v>
      </c>
      <c r="G144">
        <v>3.55</v>
      </c>
      <c r="H144">
        <v>3.2959999999999998</v>
      </c>
      <c r="I144">
        <v>24.535</v>
      </c>
      <c r="J144">
        <v>28.931999999999999</v>
      </c>
      <c r="K144">
        <v>3.0529999999999999</v>
      </c>
      <c r="L144">
        <v>3.2629999999999999</v>
      </c>
      <c r="M144">
        <v>6.19</v>
      </c>
      <c r="N144">
        <v>1.5980000000000001</v>
      </c>
      <c r="O144">
        <v>6.968</v>
      </c>
      <c r="P144">
        <v>30.033999999999999</v>
      </c>
      <c r="Q144">
        <v>17.588000000000001</v>
      </c>
      <c r="R144">
        <v>17.545999999999999</v>
      </c>
      <c r="S144">
        <v>1.829</v>
      </c>
      <c r="T144">
        <v>1.171</v>
      </c>
      <c r="U144">
        <v>5.3810000000000002</v>
      </c>
      <c r="V144">
        <v>2.4369999999999998</v>
      </c>
      <c r="W144">
        <v>15.032</v>
      </c>
      <c r="X144">
        <v>42.875</v>
      </c>
      <c r="Y144">
        <v>5.2119999999999997</v>
      </c>
      <c r="Z144">
        <v>4.9720000000000004</v>
      </c>
      <c r="AB144">
        <v>2.36</v>
      </c>
      <c r="AC144">
        <v>17.302</v>
      </c>
      <c r="AD144">
        <v>65.369</v>
      </c>
      <c r="AE144">
        <v>1.343</v>
      </c>
      <c r="AF144">
        <v>23.962</v>
      </c>
      <c r="AG144">
        <v>31.52</v>
      </c>
      <c r="AH144">
        <v>1.43</v>
      </c>
    </row>
    <row r="145" spans="1:34" x14ac:dyDescent="0.25">
      <c r="A145" s="143">
        <v>44768</v>
      </c>
      <c r="B145">
        <v>16.849</v>
      </c>
      <c r="C145">
        <v>12.58</v>
      </c>
      <c r="D145">
        <v>4.5199999999999996</v>
      </c>
      <c r="E145">
        <v>18.879000000000001</v>
      </c>
      <c r="F145">
        <v>25.198</v>
      </c>
      <c r="G145">
        <v>3.597</v>
      </c>
      <c r="H145">
        <v>3.3050000000000002</v>
      </c>
      <c r="I145">
        <v>24.605</v>
      </c>
      <c r="J145">
        <v>29.097999999999999</v>
      </c>
      <c r="K145">
        <v>3.0979999999999999</v>
      </c>
      <c r="L145">
        <v>3.274</v>
      </c>
      <c r="M145">
        <v>6.13</v>
      </c>
      <c r="N145">
        <v>1.621</v>
      </c>
      <c r="O145">
        <v>7.0510000000000002</v>
      </c>
      <c r="P145">
        <v>30.463999999999999</v>
      </c>
      <c r="Q145">
        <v>17.689</v>
      </c>
      <c r="R145">
        <v>17.789000000000001</v>
      </c>
      <c r="S145">
        <v>1.855</v>
      </c>
      <c r="T145">
        <v>1.1839999999999999</v>
      </c>
      <c r="U145">
        <v>5.4560000000000004</v>
      </c>
      <c r="V145">
        <v>2.4580000000000002</v>
      </c>
      <c r="W145">
        <v>15.157</v>
      </c>
      <c r="X145">
        <v>43.83</v>
      </c>
      <c r="Y145">
        <v>5.1879999999999997</v>
      </c>
      <c r="Z145">
        <v>4.9880000000000004</v>
      </c>
      <c r="AB145">
        <v>2.3559999999999999</v>
      </c>
      <c r="AC145">
        <v>17.495000000000001</v>
      </c>
      <c r="AD145">
        <v>66.207999999999998</v>
      </c>
      <c r="AE145">
        <v>1.3620000000000001</v>
      </c>
      <c r="AF145">
        <v>24.312999999999999</v>
      </c>
      <c r="AG145">
        <v>32.090000000000003</v>
      </c>
      <c r="AH145">
        <v>1.4410000000000001</v>
      </c>
    </row>
    <row r="146" spans="1:34" x14ac:dyDescent="0.25">
      <c r="A146" s="143">
        <v>44769</v>
      </c>
      <c r="B146">
        <v>16.809999999999999</v>
      </c>
      <c r="C146">
        <v>12.564</v>
      </c>
      <c r="D146">
        <v>4.548</v>
      </c>
      <c r="E146">
        <v>18.835999999999999</v>
      </c>
      <c r="F146">
        <v>25.158999999999999</v>
      </c>
      <c r="G146">
        <v>3.5870000000000002</v>
      </c>
      <c r="H146">
        <v>3.3010000000000002</v>
      </c>
      <c r="I146">
        <v>24.574999999999999</v>
      </c>
      <c r="J146">
        <v>29.207999999999998</v>
      </c>
      <c r="K146">
        <v>3.0840000000000001</v>
      </c>
      <c r="L146">
        <v>3.2709999999999999</v>
      </c>
      <c r="M146">
        <v>6.0720000000000001</v>
      </c>
      <c r="N146">
        <v>1.613</v>
      </c>
      <c r="O146">
        <v>7.0510000000000002</v>
      </c>
      <c r="P146">
        <v>30.295000000000002</v>
      </c>
      <c r="Q146">
        <v>17.667000000000002</v>
      </c>
      <c r="R146">
        <v>17.695</v>
      </c>
      <c r="S146">
        <v>1.843</v>
      </c>
      <c r="T146">
        <v>1.1839999999999999</v>
      </c>
      <c r="U146">
        <v>5.43</v>
      </c>
      <c r="V146">
        <v>2.4689999999999999</v>
      </c>
      <c r="W146">
        <v>15.074</v>
      </c>
      <c r="X146">
        <v>43.539000000000001</v>
      </c>
      <c r="Y146">
        <v>5.1219999999999999</v>
      </c>
      <c r="Z146">
        <v>4.9809999999999999</v>
      </c>
      <c r="AB146">
        <v>2.35</v>
      </c>
      <c r="AC146">
        <v>17.446000000000002</v>
      </c>
      <c r="AD146">
        <v>65.715999999999994</v>
      </c>
      <c r="AE146">
        <v>1.3520000000000001</v>
      </c>
      <c r="AF146">
        <v>24.212</v>
      </c>
      <c r="AG146">
        <v>31.856000000000002</v>
      </c>
      <c r="AH146">
        <v>1.4350000000000001</v>
      </c>
    </row>
    <row r="147" spans="1:34" x14ac:dyDescent="0.25">
      <c r="A147" s="143">
        <v>44770</v>
      </c>
      <c r="B147">
        <v>16.927</v>
      </c>
      <c r="C147">
        <v>12.58</v>
      </c>
      <c r="D147">
        <v>4.6180000000000003</v>
      </c>
      <c r="E147">
        <v>18.942</v>
      </c>
      <c r="F147">
        <v>25.24</v>
      </c>
      <c r="G147">
        <v>3.6</v>
      </c>
      <c r="H147">
        <v>3.3050000000000002</v>
      </c>
      <c r="I147">
        <v>24.605</v>
      </c>
      <c r="J147">
        <v>29.433</v>
      </c>
      <c r="K147">
        <v>3.0950000000000002</v>
      </c>
      <c r="L147">
        <v>3.2730000000000001</v>
      </c>
      <c r="M147">
        <v>6.0490000000000004</v>
      </c>
      <c r="N147">
        <v>1.627</v>
      </c>
      <c r="O147">
        <v>7.085</v>
      </c>
      <c r="P147">
        <v>30.494</v>
      </c>
      <c r="Q147">
        <v>17.739999999999998</v>
      </c>
      <c r="R147">
        <v>17.923999999999999</v>
      </c>
      <c r="S147">
        <v>1.8620000000000001</v>
      </c>
      <c r="T147">
        <v>1.19</v>
      </c>
      <c r="U147">
        <v>5.4569999999999999</v>
      </c>
      <c r="V147">
        <v>2.4870000000000001</v>
      </c>
      <c r="W147">
        <v>15.212</v>
      </c>
      <c r="X147">
        <v>43.454000000000001</v>
      </c>
      <c r="Y147">
        <v>5.1390000000000002</v>
      </c>
      <c r="Z147">
        <v>4.9859999999999998</v>
      </c>
      <c r="AB147">
        <v>2.355</v>
      </c>
      <c r="AC147">
        <v>17.559000000000001</v>
      </c>
      <c r="AD147">
        <v>66.299000000000007</v>
      </c>
      <c r="AE147">
        <v>1.3560000000000001</v>
      </c>
      <c r="AF147">
        <v>24.295999999999999</v>
      </c>
      <c r="AG147">
        <v>31.992999999999999</v>
      </c>
      <c r="AH147">
        <v>1.4470000000000001</v>
      </c>
    </row>
    <row r="148" spans="1:34" x14ac:dyDescent="0.25">
      <c r="A148" s="143">
        <v>44771</v>
      </c>
      <c r="B148">
        <v>16.802</v>
      </c>
      <c r="C148">
        <v>12.583</v>
      </c>
      <c r="D148">
        <v>4.6719999999999997</v>
      </c>
      <c r="E148">
        <v>18.786000000000001</v>
      </c>
      <c r="F148">
        <v>25.259</v>
      </c>
      <c r="G148">
        <v>3.5830000000000002</v>
      </c>
      <c r="H148">
        <v>3.306</v>
      </c>
      <c r="I148">
        <v>24.61</v>
      </c>
      <c r="J148">
        <v>29.302</v>
      </c>
      <c r="K148">
        <v>3.0739999999999998</v>
      </c>
      <c r="L148">
        <v>3.2730000000000001</v>
      </c>
      <c r="M148">
        <v>6.08</v>
      </c>
      <c r="N148">
        <v>1.627</v>
      </c>
      <c r="O148">
        <v>7.093</v>
      </c>
      <c r="P148">
        <v>30.43</v>
      </c>
      <c r="Q148">
        <v>17.795000000000002</v>
      </c>
      <c r="R148">
        <v>18.04</v>
      </c>
      <c r="S148">
        <v>1.8520000000000001</v>
      </c>
      <c r="T148">
        <v>1.1910000000000001</v>
      </c>
      <c r="U148">
        <v>5.423</v>
      </c>
      <c r="V148">
        <v>2.4910000000000001</v>
      </c>
      <c r="W148">
        <v>15.113</v>
      </c>
      <c r="X148">
        <v>43.658999999999999</v>
      </c>
      <c r="Y148">
        <v>5.194</v>
      </c>
      <c r="Z148">
        <v>4.9870000000000001</v>
      </c>
      <c r="AB148">
        <v>2.3690000000000002</v>
      </c>
      <c r="AC148">
        <v>17.47</v>
      </c>
      <c r="AD148">
        <v>66.561999999999998</v>
      </c>
      <c r="AE148">
        <v>1.349</v>
      </c>
      <c r="AF148">
        <v>24.135000000000002</v>
      </c>
      <c r="AG148">
        <v>31.783000000000001</v>
      </c>
      <c r="AH148">
        <v>1.4590000000000001</v>
      </c>
    </row>
    <row r="149" spans="1:34" x14ac:dyDescent="0.25">
      <c r="A149" s="143">
        <v>44774</v>
      </c>
      <c r="B149">
        <v>16.946000000000002</v>
      </c>
      <c r="C149">
        <v>12.593</v>
      </c>
      <c r="D149">
        <v>4.673</v>
      </c>
      <c r="E149">
        <v>18.838000000000001</v>
      </c>
      <c r="F149">
        <v>25.349</v>
      </c>
      <c r="G149">
        <v>3.5649999999999999</v>
      </c>
      <c r="H149">
        <v>3.3079999999999998</v>
      </c>
      <c r="I149">
        <v>24.63</v>
      </c>
      <c r="J149">
        <v>29.43</v>
      </c>
      <c r="K149">
        <v>3.0659999999999998</v>
      </c>
      <c r="L149">
        <v>3.2749999999999999</v>
      </c>
      <c r="M149">
        <v>6.1360000000000001</v>
      </c>
      <c r="N149">
        <v>1.619</v>
      </c>
      <c r="O149">
        <v>7.1280000000000001</v>
      </c>
      <c r="P149">
        <v>30.431000000000001</v>
      </c>
      <c r="Q149">
        <v>17.757999999999999</v>
      </c>
      <c r="R149">
        <v>18.193999999999999</v>
      </c>
      <c r="S149">
        <v>1.847</v>
      </c>
      <c r="T149">
        <v>1.1859999999999999</v>
      </c>
      <c r="U149">
        <v>5.4059999999999997</v>
      </c>
      <c r="V149">
        <v>2.4969999999999999</v>
      </c>
      <c r="W149">
        <v>15.242000000000001</v>
      </c>
      <c r="X149">
        <v>43.417999999999999</v>
      </c>
      <c r="Y149">
        <v>5.2030000000000003</v>
      </c>
      <c r="Z149">
        <v>4.9980000000000002</v>
      </c>
      <c r="AB149">
        <v>2.3759999999999999</v>
      </c>
      <c r="AC149">
        <v>17.486000000000001</v>
      </c>
      <c r="AD149">
        <v>66.617000000000004</v>
      </c>
      <c r="AE149">
        <v>1.343</v>
      </c>
      <c r="AF149">
        <v>24.071999999999999</v>
      </c>
      <c r="AG149">
        <v>31.861000000000001</v>
      </c>
      <c r="AH149">
        <v>1.4610000000000001</v>
      </c>
    </row>
    <row r="150" spans="1:34" x14ac:dyDescent="0.25">
      <c r="A150" s="143">
        <v>44775</v>
      </c>
      <c r="B150">
        <v>16.715</v>
      </c>
      <c r="C150">
        <v>12.603</v>
      </c>
      <c r="D150">
        <v>4.6360000000000001</v>
      </c>
      <c r="E150">
        <v>18.747</v>
      </c>
      <c r="F150">
        <v>25.303999999999998</v>
      </c>
      <c r="G150">
        <v>3.5670000000000002</v>
      </c>
      <c r="H150">
        <v>3.3109999999999999</v>
      </c>
      <c r="I150">
        <v>24.645</v>
      </c>
      <c r="J150">
        <v>29.459</v>
      </c>
      <c r="K150">
        <v>3.0720000000000001</v>
      </c>
      <c r="L150">
        <v>3.278</v>
      </c>
      <c r="M150">
        <v>6.2110000000000003</v>
      </c>
      <c r="N150">
        <v>1.619</v>
      </c>
      <c r="O150">
        <v>7.1479999999999997</v>
      </c>
      <c r="P150">
        <v>30.69</v>
      </c>
      <c r="Q150">
        <v>17.692</v>
      </c>
      <c r="R150">
        <v>18.408000000000001</v>
      </c>
      <c r="S150">
        <v>1.841</v>
      </c>
      <c r="T150">
        <v>1.177</v>
      </c>
      <c r="U150">
        <v>5.4139999999999997</v>
      </c>
      <c r="V150">
        <v>2.4809999999999999</v>
      </c>
      <c r="W150">
        <v>15.164</v>
      </c>
      <c r="X150">
        <v>43.377000000000002</v>
      </c>
      <c r="Y150">
        <v>5.2370000000000001</v>
      </c>
      <c r="Z150">
        <v>4.9989999999999997</v>
      </c>
      <c r="AB150">
        <v>2.37</v>
      </c>
      <c r="AC150">
        <v>17.48</v>
      </c>
      <c r="AD150">
        <v>66.793000000000006</v>
      </c>
      <c r="AE150">
        <v>1.343</v>
      </c>
      <c r="AF150">
        <v>24.111999999999998</v>
      </c>
      <c r="AG150">
        <v>31.943000000000001</v>
      </c>
      <c r="AH150">
        <v>1.4510000000000001</v>
      </c>
    </row>
    <row r="151" spans="1:34" x14ac:dyDescent="0.25">
      <c r="A151" s="143">
        <v>44776</v>
      </c>
      <c r="B151">
        <v>16.791</v>
      </c>
      <c r="C151">
        <v>12.603999999999999</v>
      </c>
      <c r="D151">
        <v>4.601</v>
      </c>
      <c r="E151">
        <v>18.843</v>
      </c>
      <c r="F151">
        <v>25.221</v>
      </c>
      <c r="G151">
        <v>3.5830000000000002</v>
      </c>
      <c r="H151">
        <v>3.3119999999999998</v>
      </c>
      <c r="I151">
        <v>24.65</v>
      </c>
      <c r="J151">
        <v>29.475000000000001</v>
      </c>
      <c r="K151">
        <v>3.0819999999999999</v>
      </c>
      <c r="L151">
        <v>3.2789999999999999</v>
      </c>
      <c r="M151">
        <v>6.24</v>
      </c>
      <c r="N151">
        <v>1.6220000000000001</v>
      </c>
      <c r="O151">
        <v>7.1769999999999996</v>
      </c>
      <c r="P151">
        <v>30.567</v>
      </c>
      <c r="Q151">
        <v>17.696000000000002</v>
      </c>
      <c r="R151">
        <v>18.100999999999999</v>
      </c>
      <c r="S151">
        <v>1.8460000000000001</v>
      </c>
      <c r="T151">
        <v>1.169</v>
      </c>
      <c r="U151">
        <v>5.4279999999999999</v>
      </c>
      <c r="V151">
        <v>2.496</v>
      </c>
      <c r="W151">
        <v>15.154</v>
      </c>
      <c r="X151">
        <v>43.375</v>
      </c>
      <c r="Y151">
        <v>5.2539999999999996</v>
      </c>
      <c r="Z151">
        <v>5.0039999999999996</v>
      </c>
      <c r="AB151">
        <v>2.3719999999999999</v>
      </c>
      <c r="AC151">
        <v>17.526</v>
      </c>
      <c r="AD151">
        <v>66.721000000000004</v>
      </c>
      <c r="AE151">
        <v>1.347</v>
      </c>
      <c r="AF151">
        <v>24.192</v>
      </c>
      <c r="AG151">
        <v>32.031999999999996</v>
      </c>
      <c r="AH151">
        <v>1.44</v>
      </c>
    </row>
    <row r="152" spans="1:34" x14ac:dyDescent="0.25">
      <c r="A152" s="143">
        <v>44777</v>
      </c>
      <c r="B152">
        <v>16.881</v>
      </c>
      <c r="C152">
        <v>12.611000000000001</v>
      </c>
      <c r="D152">
        <v>4.5999999999999996</v>
      </c>
      <c r="E152">
        <v>18.869</v>
      </c>
      <c r="F152">
        <v>25.254000000000001</v>
      </c>
      <c r="G152">
        <v>3.5870000000000002</v>
      </c>
      <c r="H152">
        <v>3.3140000000000001</v>
      </c>
      <c r="I152">
        <v>24.66</v>
      </c>
      <c r="J152">
        <v>29.277999999999999</v>
      </c>
      <c r="K152">
        <v>3.0859999999999999</v>
      </c>
      <c r="L152">
        <v>3.2810000000000001</v>
      </c>
      <c r="M152">
        <v>6.2290000000000001</v>
      </c>
      <c r="N152">
        <v>1.6220000000000001</v>
      </c>
      <c r="O152">
        <v>7.2320000000000002</v>
      </c>
      <c r="P152">
        <v>30.535</v>
      </c>
      <c r="Q152">
        <v>17.779</v>
      </c>
      <c r="R152">
        <v>18.158999999999999</v>
      </c>
      <c r="S152">
        <v>1.849</v>
      </c>
      <c r="T152">
        <v>1.1879999999999999</v>
      </c>
      <c r="U152">
        <v>5.4340000000000002</v>
      </c>
      <c r="V152">
        <v>2.488</v>
      </c>
      <c r="W152">
        <v>15.247999999999999</v>
      </c>
      <c r="X152">
        <v>43.552</v>
      </c>
      <c r="Y152">
        <v>5.2210000000000001</v>
      </c>
      <c r="Z152">
        <v>5.0049999999999999</v>
      </c>
      <c r="AB152">
        <v>2.3769999999999998</v>
      </c>
      <c r="AC152">
        <v>17.57</v>
      </c>
      <c r="AD152">
        <v>67.381</v>
      </c>
      <c r="AE152">
        <v>1.3480000000000001</v>
      </c>
      <c r="AF152">
        <v>24.225999999999999</v>
      </c>
      <c r="AG152">
        <v>32.003</v>
      </c>
      <c r="AH152">
        <v>1.448</v>
      </c>
    </row>
    <row r="153" spans="1:34" x14ac:dyDescent="0.25">
      <c r="A153" s="143">
        <v>44778</v>
      </c>
      <c r="B153">
        <v>16.710999999999999</v>
      </c>
      <c r="C153">
        <v>12.564</v>
      </c>
      <c r="D153">
        <v>4.609</v>
      </c>
      <c r="E153">
        <v>18.646999999999998</v>
      </c>
      <c r="F153">
        <v>25.145</v>
      </c>
      <c r="G153">
        <v>3.56</v>
      </c>
      <c r="H153">
        <v>3.3029999999999999</v>
      </c>
      <c r="I153">
        <v>24.58</v>
      </c>
      <c r="J153">
        <v>29.164999999999999</v>
      </c>
      <c r="K153">
        <v>3.0609999999999999</v>
      </c>
      <c r="L153">
        <v>3.2709999999999999</v>
      </c>
      <c r="M153">
        <v>6.2409999999999997</v>
      </c>
      <c r="N153">
        <v>1.613</v>
      </c>
      <c r="O153">
        <v>7.2229999999999999</v>
      </c>
      <c r="P153">
        <v>30.335999999999999</v>
      </c>
      <c r="Q153">
        <v>17.709</v>
      </c>
      <c r="R153">
        <v>18.047000000000001</v>
      </c>
      <c r="S153">
        <v>1.855</v>
      </c>
      <c r="T153">
        <v>1.18</v>
      </c>
      <c r="U153">
        <v>5.3920000000000003</v>
      </c>
      <c r="V153">
        <v>2.4630000000000001</v>
      </c>
      <c r="W153">
        <v>15.13</v>
      </c>
      <c r="X153">
        <v>43.494</v>
      </c>
      <c r="Y153">
        <v>5.22</v>
      </c>
      <c r="Z153">
        <v>4.9909999999999997</v>
      </c>
      <c r="AB153">
        <v>2.3730000000000002</v>
      </c>
      <c r="AC153">
        <v>17.463000000000001</v>
      </c>
      <c r="AD153">
        <v>67.584999999999994</v>
      </c>
      <c r="AE153">
        <v>1.337</v>
      </c>
      <c r="AF153">
        <v>24.024999999999999</v>
      </c>
      <c r="AG153">
        <v>31.719000000000001</v>
      </c>
      <c r="AH153">
        <v>1.4430000000000001</v>
      </c>
    </row>
    <row r="154" spans="1:34" x14ac:dyDescent="0.25">
      <c r="A154" s="143">
        <v>44781</v>
      </c>
      <c r="B154">
        <v>16.783999999999999</v>
      </c>
      <c r="C154">
        <v>12.534000000000001</v>
      </c>
      <c r="D154">
        <v>4.681</v>
      </c>
      <c r="E154">
        <v>18.667000000000002</v>
      </c>
      <c r="F154">
        <v>25.109000000000002</v>
      </c>
      <c r="G154">
        <v>3.5569999999999999</v>
      </c>
      <c r="H154">
        <v>3.2949999999999999</v>
      </c>
      <c r="I154">
        <v>24.515000000000001</v>
      </c>
      <c r="J154">
        <v>29.128</v>
      </c>
      <c r="K154">
        <v>3.0619999999999998</v>
      </c>
      <c r="L154">
        <v>3.2629999999999999</v>
      </c>
      <c r="M154">
        <v>6.2190000000000003</v>
      </c>
      <c r="N154">
        <v>1.6160000000000001</v>
      </c>
      <c r="O154">
        <v>7.234</v>
      </c>
      <c r="P154">
        <v>30.202999999999999</v>
      </c>
      <c r="Q154">
        <v>17.498000000000001</v>
      </c>
      <c r="R154">
        <v>17.814</v>
      </c>
      <c r="S154">
        <v>1.843</v>
      </c>
      <c r="T154">
        <v>1.1850000000000001</v>
      </c>
      <c r="U154">
        <v>5.391</v>
      </c>
      <c r="V154">
        <v>2.4660000000000002</v>
      </c>
      <c r="W154">
        <v>15.129</v>
      </c>
      <c r="X154">
        <v>43.350999999999999</v>
      </c>
      <c r="Y154">
        <v>5.2110000000000003</v>
      </c>
      <c r="Z154">
        <v>4.9859999999999998</v>
      </c>
      <c r="AB154">
        <v>2.3650000000000002</v>
      </c>
      <c r="AC154">
        <v>17.439</v>
      </c>
      <c r="AD154">
        <v>67.414000000000001</v>
      </c>
      <c r="AE154">
        <v>1.339</v>
      </c>
      <c r="AF154">
        <v>24.039000000000001</v>
      </c>
      <c r="AG154">
        <v>31.795999999999999</v>
      </c>
      <c r="AH154">
        <v>1.4450000000000001</v>
      </c>
    </row>
    <row r="155" spans="1:34" x14ac:dyDescent="0.25">
      <c r="A155" s="143">
        <v>44782</v>
      </c>
      <c r="B155">
        <v>16.702999999999999</v>
      </c>
      <c r="C155">
        <v>12.541</v>
      </c>
      <c r="D155">
        <v>4.6779999999999999</v>
      </c>
      <c r="E155">
        <v>18.635999999999999</v>
      </c>
      <c r="F155">
        <v>25.128</v>
      </c>
      <c r="G155">
        <v>3.55</v>
      </c>
      <c r="H155">
        <v>3.2970000000000002</v>
      </c>
      <c r="I155">
        <v>24.53</v>
      </c>
      <c r="J155">
        <v>29.023</v>
      </c>
      <c r="K155">
        <v>3.0529999999999999</v>
      </c>
      <c r="L155">
        <v>3.262</v>
      </c>
      <c r="M155">
        <v>6.1740000000000004</v>
      </c>
      <c r="N155">
        <v>1.6140000000000001</v>
      </c>
      <c r="O155">
        <v>7.2450000000000001</v>
      </c>
      <c r="P155">
        <v>30.132999999999999</v>
      </c>
      <c r="Q155">
        <v>17.509</v>
      </c>
      <c r="R155">
        <v>17.744</v>
      </c>
      <c r="S155">
        <v>1.835</v>
      </c>
      <c r="T155">
        <v>1.1839999999999999</v>
      </c>
      <c r="U155">
        <v>5.38</v>
      </c>
      <c r="V155">
        <v>2.4689999999999999</v>
      </c>
      <c r="W155">
        <v>15.048</v>
      </c>
      <c r="X155">
        <v>43.081000000000003</v>
      </c>
      <c r="Y155">
        <v>5.21</v>
      </c>
      <c r="Z155">
        <v>5.0019999999999998</v>
      </c>
      <c r="AB155">
        <v>2.3620000000000001</v>
      </c>
      <c r="AC155">
        <v>17.385000000000002</v>
      </c>
      <c r="AD155">
        <v>67.646000000000001</v>
      </c>
      <c r="AE155">
        <v>1.3380000000000001</v>
      </c>
      <c r="AF155">
        <v>23.969000000000001</v>
      </c>
      <c r="AG155">
        <v>31.622</v>
      </c>
      <c r="AH155">
        <v>1.4390000000000001</v>
      </c>
    </row>
    <row r="156" spans="1:34" x14ac:dyDescent="0.25">
      <c r="A156" s="143">
        <v>44783</v>
      </c>
      <c r="B156">
        <v>16.614000000000001</v>
      </c>
      <c r="C156">
        <v>12.474</v>
      </c>
      <c r="D156">
        <v>4.6440000000000001</v>
      </c>
      <c r="E156">
        <v>18.472000000000001</v>
      </c>
      <c r="F156">
        <v>25.119</v>
      </c>
      <c r="G156">
        <v>3.5249999999999999</v>
      </c>
      <c r="H156">
        <v>3.2789999999999999</v>
      </c>
      <c r="I156">
        <v>24.395</v>
      </c>
      <c r="J156">
        <v>28.843</v>
      </c>
      <c r="K156">
        <v>3.032</v>
      </c>
      <c r="L156">
        <v>3.246</v>
      </c>
      <c r="M156">
        <v>6.1319999999999997</v>
      </c>
      <c r="N156">
        <v>1.6</v>
      </c>
      <c r="O156">
        <v>7.2229999999999999</v>
      </c>
      <c r="P156">
        <v>29.937999999999999</v>
      </c>
      <c r="Q156">
        <v>17.462</v>
      </c>
      <c r="R156">
        <v>17.663</v>
      </c>
      <c r="S156">
        <v>1.8149999999999999</v>
      </c>
      <c r="T156">
        <v>1.177</v>
      </c>
      <c r="U156">
        <v>5.3390000000000004</v>
      </c>
      <c r="V156">
        <v>2.4609999999999999</v>
      </c>
      <c r="W156">
        <v>15.05</v>
      </c>
      <c r="X156">
        <v>42.755000000000003</v>
      </c>
      <c r="Y156">
        <v>5.1840000000000002</v>
      </c>
      <c r="Z156">
        <v>4.9640000000000004</v>
      </c>
      <c r="AB156">
        <v>2.351</v>
      </c>
      <c r="AC156">
        <v>17.292999999999999</v>
      </c>
      <c r="AD156">
        <v>66.947000000000003</v>
      </c>
      <c r="AE156">
        <v>1.325</v>
      </c>
      <c r="AF156">
        <v>23.797999999999998</v>
      </c>
      <c r="AG156">
        <v>31.428999999999998</v>
      </c>
      <c r="AH156">
        <v>1.446</v>
      </c>
    </row>
    <row r="157" spans="1:34" x14ac:dyDescent="0.25">
      <c r="A157" s="143">
        <v>44784</v>
      </c>
      <c r="B157">
        <v>16.751000000000001</v>
      </c>
      <c r="C157">
        <v>12.446999999999999</v>
      </c>
      <c r="D157">
        <v>4.6429999999999998</v>
      </c>
      <c r="E157">
        <v>18.440000000000001</v>
      </c>
      <c r="F157">
        <v>25.067</v>
      </c>
      <c r="G157">
        <v>3.4940000000000002</v>
      </c>
      <c r="H157">
        <v>3.2730000000000001</v>
      </c>
      <c r="I157">
        <v>24.344999999999999</v>
      </c>
      <c r="J157">
        <v>28.786999999999999</v>
      </c>
      <c r="K157">
        <v>3.0009999999999999</v>
      </c>
      <c r="L157">
        <v>3.24</v>
      </c>
      <c r="M157">
        <v>6.1779999999999999</v>
      </c>
      <c r="N157">
        <v>1.595</v>
      </c>
      <c r="O157">
        <v>7.266</v>
      </c>
      <c r="P157">
        <v>29.585000000000001</v>
      </c>
      <c r="Q157">
        <v>17.427</v>
      </c>
      <c r="R157">
        <v>17.826000000000001</v>
      </c>
      <c r="S157">
        <v>1.81</v>
      </c>
      <c r="T157">
        <v>1.179</v>
      </c>
      <c r="U157">
        <v>5.298</v>
      </c>
      <c r="V157">
        <v>2.4830000000000001</v>
      </c>
      <c r="W157">
        <v>15.173</v>
      </c>
      <c r="X157">
        <v>42.540999999999997</v>
      </c>
      <c r="Y157">
        <v>5.1989999999999998</v>
      </c>
      <c r="Z157">
        <v>4.9619999999999997</v>
      </c>
      <c r="AB157">
        <v>2.35</v>
      </c>
      <c r="AC157">
        <v>17.202999999999999</v>
      </c>
      <c r="AD157">
        <v>66.977999999999994</v>
      </c>
      <c r="AE157">
        <v>1.3109999999999999</v>
      </c>
      <c r="AF157">
        <v>23.547999999999998</v>
      </c>
      <c r="AG157">
        <v>31.111000000000001</v>
      </c>
      <c r="AH157">
        <v>1.4570000000000001</v>
      </c>
    </row>
    <row r="158" spans="1:34" x14ac:dyDescent="0.25">
      <c r="A158" s="143">
        <v>44785</v>
      </c>
      <c r="B158">
        <v>16.818000000000001</v>
      </c>
      <c r="C158">
        <v>12.465</v>
      </c>
      <c r="D158">
        <v>4.5990000000000002</v>
      </c>
      <c r="E158">
        <v>18.542000000000002</v>
      </c>
      <c r="F158">
        <v>25.161999999999999</v>
      </c>
      <c r="G158">
        <v>3.516</v>
      </c>
      <c r="H158">
        <v>3.2770000000000001</v>
      </c>
      <c r="I158">
        <v>24.38</v>
      </c>
      <c r="J158">
        <v>28.78</v>
      </c>
      <c r="K158">
        <v>3.0249999999999999</v>
      </c>
      <c r="L158">
        <v>3.242</v>
      </c>
      <c r="M158">
        <v>6.2160000000000002</v>
      </c>
      <c r="N158">
        <v>1.6160000000000001</v>
      </c>
      <c r="O158">
        <v>7.29</v>
      </c>
      <c r="P158">
        <v>29.734999999999999</v>
      </c>
      <c r="Q158">
        <v>17.376999999999999</v>
      </c>
      <c r="R158">
        <v>17.734000000000002</v>
      </c>
      <c r="S158">
        <v>1.8160000000000001</v>
      </c>
      <c r="T158">
        <v>1.19</v>
      </c>
      <c r="U158">
        <v>5.3339999999999996</v>
      </c>
      <c r="V158">
        <v>2.4849999999999999</v>
      </c>
      <c r="W158">
        <v>15.25</v>
      </c>
      <c r="X158">
        <v>42.59</v>
      </c>
      <c r="Y158">
        <v>5.2140000000000004</v>
      </c>
      <c r="Z158">
        <v>4.984</v>
      </c>
      <c r="AB158">
        <v>2.3330000000000002</v>
      </c>
      <c r="AC158">
        <v>17.283999999999999</v>
      </c>
      <c r="AD158">
        <v>66.988</v>
      </c>
      <c r="AE158">
        <v>1.32</v>
      </c>
      <c r="AF158">
        <v>23.706</v>
      </c>
      <c r="AG158">
        <v>31.475000000000001</v>
      </c>
      <c r="AH158">
        <v>1.4570000000000001</v>
      </c>
    </row>
    <row r="159" spans="1:34" x14ac:dyDescent="0.25">
      <c r="A159" s="143">
        <v>44788</v>
      </c>
      <c r="B159">
        <v>16.861999999999998</v>
      </c>
      <c r="C159">
        <v>12.505000000000001</v>
      </c>
      <c r="D159">
        <v>4.681</v>
      </c>
      <c r="E159">
        <v>18.577999999999999</v>
      </c>
      <c r="F159">
        <v>25.396999999999998</v>
      </c>
      <c r="G159">
        <v>3.5430000000000001</v>
      </c>
      <c r="H159">
        <v>3.2890000000000001</v>
      </c>
      <c r="I159">
        <v>24.46</v>
      </c>
      <c r="J159">
        <v>28.986999999999998</v>
      </c>
      <c r="K159">
        <v>3.0609999999999999</v>
      </c>
      <c r="L159">
        <v>3.2559999999999998</v>
      </c>
      <c r="M159">
        <v>6.1360000000000001</v>
      </c>
      <c r="N159">
        <v>1.627</v>
      </c>
      <c r="O159">
        <v>7.3470000000000004</v>
      </c>
      <c r="P159">
        <v>30.175000000000001</v>
      </c>
      <c r="Q159">
        <v>17.434000000000001</v>
      </c>
      <c r="R159">
        <v>18.036999999999999</v>
      </c>
      <c r="S159">
        <v>1.83</v>
      </c>
      <c r="T159">
        <v>1.2</v>
      </c>
      <c r="U159">
        <v>5.38</v>
      </c>
      <c r="V159">
        <v>2.4780000000000002</v>
      </c>
      <c r="W159">
        <v>15.285</v>
      </c>
      <c r="X159">
        <v>42.820999999999998</v>
      </c>
      <c r="Y159">
        <v>5.2190000000000003</v>
      </c>
      <c r="Z159">
        <v>5.0129999999999999</v>
      </c>
      <c r="AB159">
        <v>2.33</v>
      </c>
      <c r="AC159">
        <v>17.427</v>
      </c>
      <c r="AD159">
        <v>67.536000000000001</v>
      </c>
      <c r="AE159">
        <v>1.3360000000000001</v>
      </c>
      <c r="AF159">
        <v>23.992000000000001</v>
      </c>
      <c r="AG159">
        <v>31.779</v>
      </c>
      <c r="AH159">
        <v>1.4610000000000001</v>
      </c>
    </row>
    <row r="160" spans="1:34" x14ac:dyDescent="0.25">
      <c r="A160" s="143">
        <v>44789</v>
      </c>
      <c r="B160">
        <v>16.97</v>
      </c>
      <c r="C160">
        <v>12.547000000000001</v>
      </c>
      <c r="D160">
        <v>4.7329999999999997</v>
      </c>
      <c r="E160">
        <v>18.77</v>
      </c>
      <c r="F160">
        <v>25.498999999999999</v>
      </c>
      <c r="G160">
        <v>3.569</v>
      </c>
      <c r="H160">
        <v>3.3</v>
      </c>
      <c r="I160">
        <v>24.54</v>
      </c>
      <c r="J160">
        <v>29.143000000000001</v>
      </c>
      <c r="K160">
        <v>3.089</v>
      </c>
      <c r="L160">
        <v>3.2690000000000001</v>
      </c>
      <c r="M160">
        <v>6.0419999999999998</v>
      </c>
      <c r="N160">
        <v>1.64</v>
      </c>
      <c r="O160">
        <v>7.4169999999999998</v>
      </c>
      <c r="P160">
        <v>30.533000000000001</v>
      </c>
      <c r="Q160">
        <v>17.491</v>
      </c>
      <c r="R160">
        <v>18.035</v>
      </c>
      <c r="S160">
        <v>1.8460000000000001</v>
      </c>
      <c r="T160">
        <v>1.218</v>
      </c>
      <c r="U160">
        <v>5.4240000000000004</v>
      </c>
      <c r="V160">
        <v>2.4940000000000002</v>
      </c>
      <c r="W160">
        <v>15.326000000000001</v>
      </c>
      <c r="X160">
        <v>43.36</v>
      </c>
      <c r="Y160">
        <v>5.2140000000000004</v>
      </c>
      <c r="Z160">
        <v>5.0259999999999998</v>
      </c>
      <c r="AB160">
        <v>2.3290000000000002</v>
      </c>
      <c r="AC160">
        <v>17.553999999999998</v>
      </c>
      <c r="AD160">
        <v>68.3</v>
      </c>
      <c r="AE160">
        <v>1.3480000000000001</v>
      </c>
      <c r="AF160">
        <v>24.224</v>
      </c>
      <c r="AG160">
        <v>31.984999999999999</v>
      </c>
      <c r="AH160">
        <v>1.4730000000000001</v>
      </c>
    </row>
    <row r="161" spans="1:34" x14ac:dyDescent="0.25">
      <c r="A161" s="143">
        <v>44790</v>
      </c>
      <c r="B161">
        <v>16.763999999999999</v>
      </c>
      <c r="C161">
        <v>12.56</v>
      </c>
      <c r="D161">
        <v>4.6509999999999998</v>
      </c>
      <c r="E161">
        <v>18.727</v>
      </c>
      <c r="F161">
        <v>25.361999999999998</v>
      </c>
      <c r="G161">
        <v>3.5640000000000001</v>
      </c>
      <c r="H161">
        <v>3.3029999999999999</v>
      </c>
      <c r="I161">
        <v>24.565000000000001</v>
      </c>
      <c r="J161">
        <v>29.172999999999998</v>
      </c>
      <c r="K161">
        <v>3.0819999999999999</v>
      </c>
      <c r="L161">
        <v>3.2730000000000001</v>
      </c>
      <c r="M161">
        <v>6.0759999999999996</v>
      </c>
      <c r="N161">
        <v>1.637</v>
      </c>
      <c r="O161">
        <v>7.42</v>
      </c>
      <c r="P161">
        <v>30.420999999999999</v>
      </c>
      <c r="Q161">
        <v>17.509</v>
      </c>
      <c r="R161">
        <v>17.884</v>
      </c>
      <c r="S161">
        <v>1.837</v>
      </c>
      <c r="T161">
        <v>1.2050000000000001</v>
      </c>
      <c r="U161">
        <v>5.4089999999999998</v>
      </c>
      <c r="V161">
        <v>2.496</v>
      </c>
      <c r="W161">
        <v>15.196</v>
      </c>
      <c r="X161">
        <v>43.267000000000003</v>
      </c>
      <c r="Y161">
        <v>5.218</v>
      </c>
      <c r="Z161">
        <v>5.0309999999999997</v>
      </c>
      <c r="AB161">
        <v>2.3260000000000001</v>
      </c>
      <c r="AC161">
        <v>17.481999999999999</v>
      </c>
      <c r="AD161">
        <v>68.141000000000005</v>
      </c>
      <c r="AE161">
        <v>1.345</v>
      </c>
      <c r="AF161">
        <v>24.167000000000002</v>
      </c>
      <c r="AG161">
        <v>31.8</v>
      </c>
      <c r="AH161">
        <v>1.4530000000000001</v>
      </c>
    </row>
    <row r="162" spans="1:34" x14ac:dyDescent="0.25">
      <c r="A162" s="143">
        <v>44791</v>
      </c>
      <c r="B162">
        <v>16.835999999999999</v>
      </c>
      <c r="C162">
        <v>12.583</v>
      </c>
      <c r="D162">
        <v>4.7030000000000003</v>
      </c>
      <c r="E162">
        <v>18.757999999999999</v>
      </c>
      <c r="F162">
        <v>25.414999999999999</v>
      </c>
      <c r="G162">
        <v>3.5649999999999999</v>
      </c>
      <c r="H162">
        <v>3.3079999999999998</v>
      </c>
      <c r="I162">
        <v>24.61</v>
      </c>
      <c r="J162">
        <v>29.161999999999999</v>
      </c>
      <c r="K162">
        <v>3.0819999999999999</v>
      </c>
      <c r="L162">
        <v>3.274</v>
      </c>
      <c r="M162">
        <v>6.0730000000000004</v>
      </c>
      <c r="N162">
        <v>1.63</v>
      </c>
      <c r="O162">
        <v>7.4610000000000003</v>
      </c>
      <c r="P162">
        <v>30.37</v>
      </c>
      <c r="Q162">
        <v>17.515999999999998</v>
      </c>
      <c r="R162">
        <v>17.939</v>
      </c>
      <c r="S162">
        <v>1.83</v>
      </c>
      <c r="T162">
        <v>1.2110000000000001</v>
      </c>
      <c r="U162">
        <v>5.4039999999999999</v>
      </c>
      <c r="V162">
        <v>2.504</v>
      </c>
      <c r="W162">
        <v>15.244</v>
      </c>
      <c r="X162">
        <v>43.345999999999997</v>
      </c>
      <c r="Y162">
        <v>5.2110000000000003</v>
      </c>
      <c r="Z162">
        <v>5.0430000000000001</v>
      </c>
      <c r="AB162">
        <v>2.3239999999999998</v>
      </c>
      <c r="AC162">
        <v>17.512</v>
      </c>
      <c r="AD162">
        <v>67.915999999999997</v>
      </c>
      <c r="AE162">
        <v>1.337</v>
      </c>
      <c r="AF162">
        <v>24.18</v>
      </c>
      <c r="AG162">
        <v>31.866</v>
      </c>
      <c r="AH162">
        <v>1.448</v>
      </c>
    </row>
    <row r="163" spans="1:34" x14ac:dyDescent="0.25">
      <c r="A163" s="143">
        <v>44792</v>
      </c>
      <c r="B163">
        <v>16.885000000000002</v>
      </c>
      <c r="C163">
        <v>12.59</v>
      </c>
      <c r="D163">
        <v>4.7089999999999996</v>
      </c>
      <c r="E163">
        <v>18.855</v>
      </c>
      <c r="F163">
        <v>25.605</v>
      </c>
      <c r="G163">
        <v>3.5939999999999999</v>
      </c>
      <c r="H163">
        <v>3.3109999999999999</v>
      </c>
      <c r="I163">
        <v>24.625</v>
      </c>
      <c r="J163">
        <v>28.989000000000001</v>
      </c>
      <c r="K163">
        <v>3.1219999999999999</v>
      </c>
      <c r="L163">
        <v>3.2770000000000001</v>
      </c>
      <c r="M163">
        <v>6.0460000000000003</v>
      </c>
      <c r="N163">
        <v>1.651</v>
      </c>
      <c r="O163">
        <v>7.492</v>
      </c>
      <c r="P163">
        <v>30.669</v>
      </c>
      <c r="Q163">
        <v>17.527000000000001</v>
      </c>
      <c r="R163">
        <v>17.885999999999999</v>
      </c>
      <c r="S163">
        <v>1.833</v>
      </c>
      <c r="T163">
        <v>1.212</v>
      </c>
      <c r="U163">
        <v>5.4720000000000004</v>
      </c>
      <c r="V163">
        <v>2.5019999999999998</v>
      </c>
      <c r="W163">
        <v>15.199</v>
      </c>
      <c r="X163">
        <v>43.722999999999999</v>
      </c>
      <c r="Y163">
        <v>5.1840000000000002</v>
      </c>
      <c r="Z163">
        <v>5.0439999999999996</v>
      </c>
      <c r="AB163">
        <v>2.3210000000000002</v>
      </c>
      <c r="AC163">
        <v>17.616</v>
      </c>
      <c r="AD163">
        <v>68.48</v>
      </c>
      <c r="AE163">
        <v>1.353</v>
      </c>
      <c r="AF163">
        <v>24.495000000000001</v>
      </c>
      <c r="AG163">
        <v>32.259</v>
      </c>
      <c r="AH163">
        <v>1.44</v>
      </c>
    </row>
    <row r="164" spans="1:34" x14ac:dyDescent="0.25">
      <c r="A164" s="143">
        <v>44795</v>
      </c>
      <c r="B164">
        <v>17.024999999999999</v>
      </c>
      <c r="C164">
        <v>12.603999999999999</v>
      </c>
      <c r="D164">
        <v>4.766</v>
      </c>
      <c r="E164">
        <v>18.978000000000002</v>
      </c>
      <c r="F164">
        <v>25.728999999999999</v>
      </c>
      <c r="G164">
        <v>3.601</v>
      </c>
      <c r="H164">
        <v>3.3140000000000001</v>
      </c>
      <c r="I164">
        <v>24.65</v>
      </c>
      <c r="J164">
        <v>29.12</v>
      </c>
      <c r="K164">
        <v>3.1419999999999999</v>
      </c>
      <c r="L164">
        <v>3.282</v>
      </c>
      <c r="M164">
        <v>6.0419999999999998</v>
      </c>
      <c r="N164">
        <v>1.6559999999999999</v>
      </c>
      <c r="O164">
        <v>7.5209999999999999</v>
      </c>
      <c r="P164">
        <v>30.867000000000001</v>
      </c>
      <c r="Q164">
        <v>17.495000000000001</v>
      </c>
      <c r="R164">
        <v>17.983000000000001</v>
      </c>
      <c r="S164">
        <v>1.8340000000000001</v>
      </c>
      <c r="T164">
        <v>1.222</v>
      </c>
      <c r="U164">
        <v>5.4960000000000004</v>
      </c>
      <c r="V164">
        <v>2.5230000000000001</v>
      </c>
      <c r="W164">
        <v>15.286</v>
      </c>
      <c r="X164">
        <v>43.851999999999997</v>
      </c>
      <c r="Y164">
        <v>5.1740000000000004</v>
      </c>
      <c r="Z164">
        <v>5.0460000000000003</v>
      </c>
      <c r="AB164">
        <v>2.3140000000000001</v>
      </c>
      <c r="AC164">
        <v>17.661000000000001</v>
      </c>
      <c r="AD164">
        <v>68.295000000000002</v>
      </c>
      <c r="AE164">
        <v>1.36</v>
      </c>
      <c r="AF164">
        <v>24.649000000000001</v>
      </c>
      <c r="AG164">
        <v>32.267000000000003</v>
      </c>
      <c r="AH164">
        <v>1.444</v>
      </c>
    </row>
    <row r="165" spans="1:34" x14ac:dyDescent="0.25">
      <c r="A165" s="143">
        <v>44796</v>
      </c>
      <c r="B165">
        <v>17.076000000000001</v>
      </c>
      <c r="C165">
        <v>12.606</v>
      </c>
      <c r="D165">
        <v>4.8390000000000004</v>
      </c>
      <c r="E165">
        <v>19.068000000000001</v>
      </c>
      <c r="F165">
        <v>25.675999999999998</v>
      </c>
      <c r="G165">
        <v>3.6280000000000001</v>
      </c>
      <c r="H165">
        <v>3.3149999999999999</v>
      </c>
      <c r="I165">
        <v>24.655000000000001</v>
      </c>
      <c r="J165">
        <v>29.23</v>
      </c>
      <c r="K165">
        <v>3.1640000000000001</v>
      </c>
      <c r="L165">
        <v>3.2829999999999999</v>
      </c>
      <c r="M165">
        <v>6.0039999999999996</v>
      </c>
      <c r="N165">
        <v>1.6739999999999999</v>
      </c>
      <c r="O165">
        <v>7.5629999999999997</v>
      </c>
      <c r="P165">
        <v>31.091999999999999</v>
      </c>
      <c r="Q165">
        <v>17.597999999999999</v>
      </c>
      <c r="R165">
        <v>18.081</v>
      </c>
      <c r="S165">
        <v>1.85</v>
      </c>
      <c r="T165">
        <v>1.238</v>
      </c>
      <c r="U165">
        <v>5.532</v>
      </c>
      <c r="V165">
        <v>2.5310000000000001</v>
      </c>
      <c r="W165">
        <v>15.340999999999999</v>
      </c>
      <c r="X165">
        <v>44.286000000000001</v>
      </c>
      <c r="Y165">
        <v>5.1589999999999998</v>
      </c>
      <c r="Z165">
        <v>5.048</v>
      </c>
      <c r="AB165">
        <v>2.3250000000000002</v>
      </c>
      <c r="AC165">
        <v>17.786999999999999</v>
      </c>
      <c r="AD165">
        <v>68.748999999999995</v>
      </c>
      <c r="AE165">
        <v>1.371</v>
      </c>
      <c r="AF165">
        <v>24.831</v>
      </c>
      <c r="AG165">
        <v>32.435000000000002</v>
      </c>
      <c r="AH165">
        <v>1.454</v>
      </c>
    </row>
    <row r="166" spans="1:34" x14ac:dyDescent="0.25">
      <c r="A166" s="143">
        <v>44797</v>
      </c>
      <c r="B166">
        <v>17.120999999999999</v>
      </c>
      <c r="C166">
        <v>12.596</v>
      </c>
      <c r="D166">
        <v>4.8710000000000004</v>
      </c>
      <c r="E166">
        <v>19.079999999999998</v>
      </c>
      <c r="F166">
        <v>25.72</v>
      </c>
      <c r="G166">
        <v>3.61</v>
      </c>
      <c r="H166">
        <v>3.3119999999999998</v>
      </c>
      <c r="I166">
        <v>24.635000000000002</v>
      </c>
      <c r="J166">
        <v>29.23</v>
      </c>
      <c r="K166">
        <v>3.1589999999999998</v>
      </c>
      <c r="L166">
        <v>3.28</v>
      </c>
      <c r="M166">
        <v>5.9950000000000001</v>
      </c>
      <c r="N166">
        <v>1.669</v>
      </c>
      <c r="O166">
        <v>7.5570000000000004</v>
      </c>
      <c r="P166">
        <v>31.05</v>
      </c>
      <c r="Q166">
        <v>17.658999999999999</v>
      </c>
      <c r="R166">
        <v>18.148</v>
      </c>
      <c r="S166">
        <v>1.847</v>
      </c>
      <c r="T166">
        <v>1.2450000000000001</v>
      </c>
      <c r="U166">
        <v>5.5259999999999998</v>
      </c>
      <c r="V166">
        <v>2.5569999999999999</v>
      </c>
      <c r="W166">
        <v>15.334</v>
      </c>
      <c r="X166">
        <v>44.206000000000003</v>
      </c>
      <c r="Y166">
        <v>5.1680000000000001</v>
      </c>
      <c r="Z166">
        <v>5.048</v>
      </c>
      <c r="AB166">
        <v>2.327</v>
      </c>
      <c r="AC166">
        <v>17.771999999999998</v>
      </c>
      <c r="AD166">
        <v>68.608000000000004</v>
      </c>
      <c r="AE166">
        <v>1.365</v>
      </c>
      <c r="AF166">
        <v>24.786000000000001</v>
      </c>
      <c r="AG166">
        <v>32.277999999999999</v>
      </c>
      <c r="AH166">
        <v>1.4590000000000001</v>
      </c>
    </row>
  </sheetData>
  <sheetProtection sheet="1" objects="1" scenarios="1"/>
  <pageMargins left="0.7" right="0.7" top="0.78740157499999996" bottom="0.78740157499999996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54F6A-AAF1-43A6-AC01-498A1B7F4DF5}">
  <sheetPr codeName="List2"/>
  <dimension ref="A1:AD569"/>
  <sheetViews>
    <sheetView workbookViewId="0">
      <selection activeCell="AB1" sqref="AB1"/>
    </sheetView>
  </sheetViews>
  <sheetFormatPr defaultRowHeight="15" x14ac:dyDescent="0.25"/>
  <cols>
    <col min="8" max="8" width="10.140625" bestFit="1" customWidth="1"/>
    <col min="17" max="17" width="12.5703125" customWidth="1"/>
    <col min="18" max="19" width="14.5703125" customWidth="1"/>
    <col min="22" max="22" width="40" style="25" bestFit="1" customWidth="1"/>
    <col min="23" max="23" width="9.140625" style="25"/>
    <col min="24" max="24" width="14.42578125" style="25" bestFit="1" customWidth="1"/>
    <col min="25" max="25" width="19.140625" style="25" customWidth="1"/>
    <col min="28" max="28" width="10.140625" bestFit="1" customWidth="1"/>
    <col min="29" max="29" width="11.42578125" customWidth="1"/>
    <col min="30" max="30" width="11.85546875" customWidth="1"/>
  </cols>
  <sheetData>
    <row r="1" spans="1:30" x14ac:dyDescent="0.25">
      <c r="H1" s="143">
        <v>44562</v>
      </c>
      <c r="P1" t="s">
        <v>146</v>
      </c>
      <c r="AB1" s="278">
        <f>Příkaz!F14</f>
        <v>44722</v>
      </c>
      <c r="AC1" s="143">
        <f>VLOOKUP(VLOOKUP(AB1,AB3:AD569,3,FALSE)+10,AA3:AB569,2,FALSE)</f>
        <v>44736</v>
      </c>
    </row>
    <row r="2" spans="1:30" x14ac:dyDescent="0.25">
      <c r="A2">
        <v>1</v>
      </c>
      <c r="H2" s="143">
        <v>44926</v>
      </c>
      <c r="K2" t="s">
        <v>0</v>
      </c>
      <c r="L2" t="s">
        <v>128</v>
      </c>
      <c r="N2" t="s">
        <v>455</v>
      </c>
      <c r="P2">
        <f>Příkaz!F14-Příkaz!F6+1</f>
        <v>44723</v>
      </c>
      <c r="Q2">
        <f>VALUE(RIGHT(P2,1))</f>
        <v>3</v>
      </c>
      <c r="R2" t="str">
        <f>P2&amp;" "&amp;VLOOKUP(Q2,P6:Q15,2,FALSE)</f>
        <v>44723 dny</v>
      </c>
      <c r="V2" s="25" t="s">
        <v>229</v>
      </c>
      <c r="W2" s="25" t="s">
        <v>230</v>
      </c>
      <c r="X2" s="25" t="s">
        <v>231</v>
      </c>
      <c r="Y2" s="25" t="s">
        <v>232</v>
      </c>
      <c r="AB2" s="6" t="s">
        <v>218</v>
      </c>
      <c r="AC2" s="6" t="s">
        <v>497</v>
      </c>
    </row>
    <row r="3" spans="1:30" x14ac:dyDescent="0.25">
      <c r="A3">
        <v>2</v>
      </c>
      <c r="B3" t="s">
        <v>49</v>
      </c>
      <c r="C3" t="s">
        <v>63</v>
      </c>
      <c r="K3" t="s">
        <v>1</v>
      </c>
      <c r="L3" t="s">
        <v>129</v>
      </c>
      <c r="N3" t="s">
        <v>141</v>
      </c>
      <c r="R3" s="191" t="s">
        <v>152</v>
      </c>
      <c r="S3" s="191" t="s">
        <v>152</v>
      </c>
      <c r="T3">
        <v>0</v>
      </c>
      <c r="U3">
        <v>1</v>
      </c>
      <c r="V3" s="25" t="s">
        <v>233</v>
      </c>
      <c r="W3" s="25" t="s">
        <v>153</v>
      </c>
      <c r="X3" s="25" t="s">
        <v>164</v>
      </c>
      <c r="Y3" s="25">
        <v>45</v>
      </c>
      <c r="AA3">
        <v>0</v>
      </c>
      <c r="AB3" s="279">
        <v>44562</v>
      </c>
      <c r="AC3" s="6">
        <v>0</v>
      </c>
    </row>
    <row r="4" spans="1:30" x14ac:dyDescent="0.25">
      <c r="A4">
        <v>3</v>
      </c>
      <c r="B4" t="s">
        <v>22</v>
      </c>
      <c r="C4" t="s">
        <v>23</v>
      </c>
      <c r="I4" t="s">
        <v>152</v>
      </c>
      <c r="R4" s="191" t="s">
        <v>153</v>
      </c>
      <c r="S4" t="s">
        <v>155</v>
      </c>
      <c r="T4">
        <v>2</v>
      </c>
      <c r="U4">
        <v>1</v>
      </c>
      <c r="V4" s="25" t="s">
        <v>234</v>
      </c>
      <c r="W4" s="25" t="s">
        <v>153</v>
      </c>
      <c r="X4" s="25" t="s">
        <v>164</v>
      </c>
      <c r="Y4" s="25">
        <v>40</v>
      </c>
      <c r="AA4">
        <f t="shared" ref="AA4:AA67" si="0">AA3+AC4</f>
        <v>0</v>
      </c>
      <c r="AB4" s="279">
        <v>44563</v>
      </c>
      <c r="AC4" s="6">
        <v>0</v>
      </c>
      <c r="AD4">
        <f>AA3+AC4</f>
        <v>0</v>
      </c>
    </row>
    <row r="5" spans="1:30" x14ac:dyDescent="0.25">
      <c r="A5">
        <v>4</v>
      </c>
      <c r="B5" t="s">
        <v>25</v>
      </c>
      <c r="C5" t="s">
        <v>24</v>
      </c>
      <c r="I5" t="s">
        <v>153</v>
      </c>
      <c r="K5" t="s">
        <v>138</v>
      </c>
      <c r="R5" s="191" t="s">
        <v>212</v>
      </c>
      <c r="S5" t="s">
        <v>159</v>
      </c>
      <c r="T5">
        <v>3</v>
      </c>
      <c r="U5">
        <v>1</v>
      </c>
      <c r="V5" s="25" t="s">
        <v>235</v>
      </c>
      <c r="W5" s="25" t="s">
        <v>153</v>
      </c>
      <c r="X5" s="25" t="s">
        <v>164</v>
      </c>
      <c r="Y5" s="257">
        <v>50</v>
      </c>
      <c r="AA5">
        <f t="shared" si="0"/>
        <v>1</v>
      </c>
      <c r="AB5" s="279">
        <v>44564</v>
      </c>
      <c r="AC5" s="6">
        <v>1</v>
      </c>
      <c r="AD5">
        <f t="shared" ref="AD5:AD68" si="1">AA4+AC5</f>
        <v>1</v>
      </c>
    </row>
    <row r="6" spans="1:30" x14ac:dyDescent="0.25">
      <c r="A6">
        <v>5</v>
      </c>
      <c r="B6" t="s">
        <v>51</v>
      </c>
      <c r="C6" t="s">
        <v>78</v>
      </c>
      <c r="I6" t="s">
        <v>154</v>
      </c>
      <c r="K6" t="s">
        <v>137</v>
      </c>
      <c r="N6" t="s">
        <v>455</v>
      </c>
      <c r="P6">
        <v>0</v>
      </c>
      <c r="Q6" t="s">
        <v>147</v>
      </c>
      <c r="R6" s="191" t="s">
        <v>196</v>
      </c>
      <c r="S6" t="s">
        <v>157</v>
      </c>
      <c r="T6">
        <v>4</v>
      </c>
      <c r="U6">
        <v>1</v>
      </c>
      <c r="V6" s="25" t="s">
        <v>236</v>
      </c>
      <c r="W6" s="25" t="s">
        <v>153</v>
      </c>
      <c r="X6" s="25" t="s">
        <v>164</v>
      </c>
      <c r="Y6" s="25">
        <v>45</v>
      </c>
      <c r="AA6">
        <f t="shared" si="0"/>
        <v>2</v>
      </c>
      <c r="AB6" s="279">
        <v>44565</v>
      </c>
      <c r="AC6" s="6">
        <v>1</v>
      </c>
      <c r="AD6">
        <f t="shared" si="1"/>
        <v>2</v>
      </c>
    </row>
    <row r="7" spans="1:30" x14ac:dyDescent="0.25">
      <c r="A7">
        <v>6</v>
      </c>
      <c r="B7" t="s">
        <v>220</v>
      </c>
      <c r="C7" t="s">
        <v>82</v>
      </c>
      <c r="I7" t="s">
        <v>212</v>
      </c>
      <c r="K7" t="s">
        <v>139</v>
      </c>
      <c r="N7" t="s">
        <v>150</v>
      </c>
      <c r="P7">
        <v>1</v>
      </c>
      <c r="Q7" t="s">
        <v>148</v>
      </c>
      <c r="R7" s="191" t="s">
        <v>154</v>
      </c>
      <c r="S7" t="s">
        <v>181</v>
      </c>
      <c r="T7">
        <v>5</v>
      </c>
      <c r="U7">
        <v>1</v>
      </c>
      <c r="V7" s="25" t="s">
        <v>237</v>
      </c>
      <c r="W7" s="25" t="s">
        <v>154</v>
      </c>
      <c r="X7" s="25" t="s">
        <v>238</v>
      </c>
      <c r="Y7" s="25">
        <v>60</v>
      </c>
      <c r="AA7">
        <f t="shared" si="0"/>
        <v>3</v>
      </c>
      <c r="AB7" s="279">
        <v>44566</v>
      </c>
      <c r="AC7" s="6">
        <v>1</v>
      </c>
      <c r="AD7">
        <f t="shared" si="1"/>
        <v>3</v>
      </c>
    </row>
    <row r="8" spans="1:30" x14ac:dyDescent="0.25">
      <c r="A8">
        <v>7</v>
      </c>
      <c r="B8" t="s">
        <v>77</v>
      </c>
      <c r="C8" t="s">
        <v>79</v>
      </c>
      <c r="I8" t="s">
        <v>155</v>
      </c>
      <c r="P8">
        <v>2</v>
      </c>
      <c r="Q8" t="s">
        <v>149</v>
      </c>
      <c r="S8" t="s">
        <v>206</v>
      </c>
      <c r="T8">
        <v>6</v>
      </c>
      <c r="U8">
        <v>1</v>
      </c>
      <c r="V8" s="25" t="s">
        <v>239</v>
      </c>
      <c r="W8" s="25" t="s">
        <v>154</v>
      </c>
      <c r="X8" s="25" t="s">
        <v>238</v>
      </c>
      <c r="Y8" s="25">
        <v>50</v>
      </c>
      <c r="AA8">
        <f t="shared" si="0"/>
        <v>4</v>
      </c>
      <c r="AB8" s="279">
        <v>44567</v>
      </c>
      <c r="AC8" s="6">
        <v>1</v>
      </c>
      <c r="AD8">
        <f t="shared" si="1"/>
        <v>4</v>
      </c>
    </row>
    <row r="9" spans="1:30" x14ac:dyDescent="0.25">
      <c r="A9">
        <v>8</v>
      </c>
      <c r="B9" t="s">
        <v>83</v>
      </c>
      <c r="C9" t="s">
        <v>80</v>
      </c>
      <c r="I9" t="s">
        <v>157</v>
      </c>
      <c r="P9">
        <v>3</v>
      </c>
      <c r="Q9" t="s">
        <v>149</v>
      </c>
      <c r="S9" t="s">
        <v>161</v>
      </c>
      <c r="T9">
        <v>7</v>
      </c>
      <c r="U9">
        <v>1</v>
      </c>
      <c r="V9" s="25" t="s">
        <v>240</v>
      </c>
      <c r="W9" s="25" t="s">
        <v>153</v>
      </c>
      <c r="X9" s="25" t="s">
        <v>164</v>
      </c>
      <c r="Y9" s="25">
        <v>35</v>
      </c>
      <c r="AA9">
        <f t="shared" si="0"/>
        <v>5</v>
      </c>
      <c r="AB9" s="279">
        <v>44568</v>
      </c>
      <c r="AC9" s="6">
        <v>1</v>
      </c>
      <c r="AD9">
        <f t="shared" si="1"/>
        <v>5</v>
      </c>
    </row>
    <row r="10" spans="1:30" x14ac:dyDescent="0.25">
      <c r="A10">
        <v>9</v>
      </c>
      <c r="B10" t="s">
        <v>84</v>
      </c>
      <c r="C10" t="s">
        <v>81</v>
      </c>
      <c r="I10" t="s">
        <v>159</v>
      </c>
      <c r="P10">
        <v>4</v>
      </c>
      <c r="Q10" t="s">
        <v>149</v>
      </c>
      <c r="S10" t="s">
        <v>163</v>
      </c>
      <c r="T10">
        <v>8</v>
      </c>
      <c r="U10">
        <v>1</v>
      </c>
      <c r="V10" s="25" t="s">
        <v>380</v>
      </c>
      <c r="W10" s="25" t="s">
        <v>154</v>
      </c>
      <c r="X10" s="25" t="s">
        <v>238</v>
      </c>
      <c r="Y10" s="25">
        <v>60</v>
      </c>
      <c r="AA10">
        <f t="shared" si="0"/>
        <v>5</v>
      </c>
      <c r="AB10" s="279">
        <v>44569</v>
      </c>
      <c r="AC10" s="6">
        <v>0</v>
      </c>
      <c r="AD10">
        <f t="shared" si="1"/>
        <v>5</v>
      </c>
    </row>
    <row r="11" spans="1:30" x14ac:dyDescent="0.25">
      <c r="A11">
        <v>10</v>
      </c>
      <c r="B11" t="s">
        <v>132</v>
      </c>
      <c r="C11" t="s">
        <v>133</v>
      </c>
      <c r="I11" t="s">
        <v>161</v>
      </c>
      <c r="P11">
        <v>5</v>
      </c>
      <c r="Q11" t="s">
        <v>147</v>
      </c>
      <c r="S11" s="191" t="s">
        <v>153</v>
      </c>
      <c r="T11">
        <v>9</v>
      </c>
      <c r="U11">
        <v>1</v>
      </c>
      <c r="V11" s="25" t="s">
        <v>241</v>
      </c>
      <c r="W11" s="25" t="s">
        <v>153</v>
      </c>
      <c r="X11" s="25" t="s">
        <v>164</v>
      </c>
      <c r="Y11" s="25">
        <v>40</v>
      </c>
      <c r="AA11">
        <f t="shared" si="0"/>
        <v>5</v>
      </c>
      <c r="AB11" s="279">
        <v>44570</v>
      </c>
      <c r="AC11" s="6">
        <v>0</v>
      </c>
      <c r="AD11">
        <f t="shared" si="1"/>
        <v>5</v>
      </c>
    </row>
    <row r="12" spans="1:30" x14ac:dyDescent="0.25">
      <c r="A12">
        <v>11</v>
      </c>
      <c r="I12" t="s">
        <v>163</v>
      </c>
      <c r="P12">
        <v>6</v>
      </c>
      <c r="Q12" t="s">
        <v>147</v>
      </c>
      <c r="S12" s="191" t="s">
        <v>212</v>
      </c>
      <c r="T12">
        <v>10</v>
      </c>
      <c r="U12">
        <v>1</v>
      </c>
      <c r="V12" s="25" t="s">
        <v>242</v>
      </c>
      <c r="W12" s="25" t="s">
        <v>154</v>
      </c>
      <c r="X12" s="25" t="s">
        <v>238</v>
      </c>
      <c r="Y12" s="25">
        <v>55</v>
      </c>
      <c r="AA12">
        <f t="shared" si="0"/>
        <v>6</v>
      </c>
      <c r="AB12" s="279">
        <v>44571</v>
      </c>
      <c r="AC12" s="6">
        <v>1</v>
      </c>
      <c r="AD12">
        <f t="shared" si="1"/>
        <v>6</v>
      </c>
    </row>
    <row r="13" spans="1:30" x14ac:dyDescent="0.25">
      <c r="A13">
        <v>12</v>
      </c>
      <c r="B13" t="s">
        <v>48</v>
      </c>
      <c r="I13" t="s">
        <v>166</v>
      </c>
      <c r="P13">
        <v>7</v>
      </c>
      <c r="Q13" t="s">
        <v>147</v>
      </c>
      <c r="S13" t="s">
        <v>167</v>
      </c>
      <c r="T13">
        <v>11</v>
      </c>
      <c r="U13">
        <v>1</v>
      </c>
      <c r="V13" s="25" t="s">
        <v>243</v>
      </c>
      <c r="W13" s="25" t="s">
        <v>153</v>
      </c>
      <c r="X13" s="25" t="s">
        <v>164</v>
      </c>
      <c r="Y13" s="25">
        <v>45</v>
      </c>
      <c r="AA13">
        <f t="shared" si="0"/>
        <v>7</v>
      </c>
      <c r="AB13" s="279">
        <v>44572</v>
      </c>
      <c r="AC13" s="6">
        <v>1</v>
      </c>
      <c r="AD13">
        <f t="shared" si="1"/>
        <v>7</v>
      </c>
    </row>
    <row r="14" spans="1:30" x14ac:dyDescent="0.25">
      <c r="A14">
        <v>13</v>
      </c>
      <c r="B14" t="s">
        <v>21</v>
      </c>
      <c r="I14" t="s">
        <v>167</v>
      </c>
      <c r="P14">
        <v>8</v>
      </c>
      <c r="Q14" t="s">
        <v>147</v>
      </c>
      <c r="S14" t="s">
        <v>169</v>
      </c>
      <c r="T14">
        <v>12</v>
      </c>
      <c r="U14">
        <v>1</v>
      </c>
      <c r="V14" s="25" t="s">
        <v>244</v>
      </c>
      <c r="W14" s="25" t="s">
        <v>154</v>
      </c>
      <c r="X14" s="25" t="s">
        <v>238</v>
      </c>
      <c r="Y14" s="25">
        <v>50</v>
      </c>
      <c r="AA14">
        <f t="shared" si="0"/>
        <v>8</v>
      </c>
      <c r="AB14" s="279">
        <v>44573</v>
      </c>
      <c r="AC14" s="6">
        <v>1</v>
      </c>
      <c r="AD14">
        <f t="shared" si="1"/>
        <v>8</v>
      </c>
    </row>
    <row r="15" spans="1:30" x14ac:dyDescent="0.25">
      <c r="A15">
        <v>14</v>
      </c>
      <c r="B15" t="s">
        <v>49</v>
      </c>
      <c r="I15" t="s">
        <v>169</v>
      </c>
      <c r="P15">
        <v>9</v>
      </c>
      <c r="Q15" t="s">
        <v>147</v>
      </c>
      <c r="S15" t="s">
        <v>185</v>
      </c>
      <c r="T15">
        <v>13</v>
      </c>
      <c r="U15">
        <v>100</v>
      </c>
      <c r="V15" s="25" t="s">
        <v>245</v>
      </c>
      <c r="W15" s="25" t="s">
        <v>153</v>
      </c>
      <c r="X15" s="25" t="s">
        <v>164</v>
      </c>
      <c r="Y15" s="25">
        <v>50</v>
      </c>
      <c r="AA15">
        <f t="shared" si="0"/>
        <v>9</v>
      </c>
      <c r="AB15" s="279">
        <v>44574</v>
      </c>
      <c r="AC15" s="6">
        <v>1</v>
      </c>
      <c r="AD15">
        <f t="shared" si="1"/>
        <v>9</v>
      </c>
    </row>
    <row r="16" spans="1:30" x14ac:dyDescent="0.25">
      <c r="A16">
        <v>15</v>
      </c>
      <c r="B16" t="s">
        <v>50</v>
      </c>
      <c r="I16" t="s">
        <v>171</v>
      </c>
      <c r="S16" t="s">
        <v>172</v>
      </c>
      <c r="T16">
        <v>14</v>
      </c>
      <c r="U16">
        <v>1000</v>
      </c>
      <c r="V16" s="25" t="s">
        <v>246</v>
      </c>
      <c r="W16" s="25" t="s">
        <v>154</v>
      </c>
      <c r="X16" s="25" t="s">
        <v>238</v>
      </c>
      <c r="Y16" s="25">
        <v>50</v>
      </c>
      <c r="AA16">
        <f t="shared" si="0"/>
        <v>10</v>
      </c>
      <c r="AB16" s="279">
        <v>44575</v>
      </c>
      <c r="AC16" s="6">
        <v>1</v>
      </c>
      <c r="AD16">
        <f t="shared" si="1"/>
        <v>10</v>
      </c>
    </row>
    <row r="17" spans="1:30" x14ac:dyDescent="0.25">
      <c r="A17">
        <v>16</v>
      </c>
      <c r="B17" t="s">
        <v>51</v>
      </c>
      <c r="I17" t="s">
        <v>172</v>
      </c>
      <c r="S17" t="s">
        <v>176</v>
      </c>
      <c r="T17">
        <v>15</v>
      </c>
      <c r="U17">
        <v>1</v>
      </c>
      <c r="V17" s="25" t="s">
        <v>247</v>
      </c>
      <c r="W17" s="25" t="s">
        <v>153</v>
      </c>
      <c r="X17" s="25" t="s">
        <v>164</v>
      </c>
      <c r="Y17" s="25">
        <v>45</v>
      </c>
      <c r="AA17">
        <f t="shared" si="0"/>
        <v>10</v>
      </c>
      <c r="AB17" s="279">
        <v>44576</v>
      </c>
      <c r="AC17" s="6">
        <v>0</v>
      </c>
      <c r="AD17">
        <f t="shared" si="1"/>
        <v>10</v>
      </c>
    </row>
    <row r="18" spans="1:30" x14ac:dyDescent="0.25">
      <c r="A18">
        <v>17</v>
      </c>
      <c r="B18" t="s">
        <v>52</v>
      </c>
      <c r="I18" t="s">
        <v>174</v>
      </c>
      <c r="S18" t="s">
        <v>171</v>
      </c>
      <c r="T18">
        <v>16</v>
      </c>
      <c r="U18">
        <v>100</v>
      </c>
      <c r="V18" s="25" t="s">
        <v>248</v>
      </c>
      <c r="W18" s="25" t="s">
        <v>154</v>
      </c>
      <c r="X18" s="25" t="s">
        <v>238</v>
      </c>
      <c r="Y18" s="25">
        <v>50</v>
      </c>
      <c r="AA18">
        <f t="shared" si="0"/>
        <v>10</v>
      </c>
      <c r="AB18" s="279">
        <v>44577</v>
      </c>
      <c r="AC18" s="6">
        <v>0</v>
      </c>
      <c r="AD18">
        <f t="shared" si="1"/>
        <v>10</v>
      </c>
    </row>
    <row r="19" spans="1:30" x14ac:dyDescent="0.25">
      <c r="A19">
        <v>18</v>
      </c>
      <c r="B19" t="s">
        <v>53</v>
      </c>
      <c r="I19" t="s">
        <v>176</v>
      </c>
      <c r="S19" t="s">
        <v>174</v>
      </c>
      <c r="T19">
        <v>17</v>
      </c>
      <c r="U19">
        <v>100</v>
      </c>
      <c r="V19" s="25" t="s">
        <v>249</v>
      </c>
      <c r="W19" s="25" t="s">
        <v>153</v>
      </c>
      <c r="X19" s="25" t="s">
        <v>164</v>
      </c>
      <c r="Y19" s="25">
        <v>45</v>
      </c>
      <c r="AA19">
        <f t="shared" si="0"/>
        <v>11</v>
      </c>
      <c r="AB19" s="279">
        <v>44578</v>
      </c>
      <c r="AC19" s="6">
        <v>1</v>
      </c>
      <c r="AD19">
        <f t="shared" si="1"/>
        <v>11</v>
      </c>
    </row>
    <row r="20" spans="1:30" x14ac:dyDescent="0.25">
      <c r="A20">
        <v>19</v>
      </c>
      <c r="I20" t="s">
        <v>178</v>
      </c>
      <c r="S20" t="s">
        <v>178</v>
      </c>
      <c r="T20">
        <v>18</v>
      </c>
      <c r="U20">
        <v>100</v>
      </c>
      <c r="V20" s="25" t="s">
        <v>250</v>
      </c>
      <c r="W20" s="25" t="s">
        <v>154</v>
      </c>
      <c r="X20" s="25" t="s">
        <v>238</v>
      </c>
      <c r="Y20" s="25">
        <v>50</v>
      </c>
      <c r="AA20">
        <f t="shared" si="0"/>
        <v>12</v>
      </c>
      <c r="AB20" s="279">
        <v>44579</v>
      </c>
      <c r="AC20" s="6">
        <v>1</v>
      </c>
      <c r="AD20">
        <f t="shared" si="1"/>
        <v>12</v>
      </c>
    </row>
    <row r="21" spans="1:30" x14ac:dyDescent="0.25">
      <c r="A21">
        <v>20</v>
      </c>
      <c r="I21" t="s">
        <v>179</v>
      </c>
      <c r="S21" t="s">
        <v>183</v>
      </c>
      <c r="T21">
        <v>19</v>
      </c>
      <c r="U21">
        <v>100</v>
      </c>
      <c r="V21" s="25" t="s">
        <v>251</v>
      </c>
      <c r="W21" s="25" t="s">
        <v>154</v>
      </c>
      <c r="X21" s="25" t="s">
        <v>238</v>
      </c>
      <c r="Y21" s="25">
        <v>50</v>
      </c>
      <c r="AA21">
        <f t="shared" si="0"/>
        <v>13</v>
      </c>
      <c r="AB21" s="279">
        <v>44580</v>
      </c>
      <c r="AC21" s="6">
        <v>1</v>
      </c>
      <c r="AD21">
        <f t="shared" si="1"/>
        <v>13</v>
      </c>
    </row>
    <row r="22" spans="1:30" x14ac:dyDescent="0.25">
      <c r="A22">
        <v>21</v>
      </c>
      <c r="B22">
        <v>110</v>
      </c>
      <c r="C22" t="s">
        <v>54</v>
      </c>
      <c r="D22">
        <v>1</v>
      </c>
      <c r="I22" t="s">
        <v>181</v>
      </c>
      <c r="S22" t="s">
        <v>189</v>
      </c>
      <c r="T22">
        <v>20</v>
      </c>
      <c r="U22">
        <v>1</v>
      </c>
      <c r="V22" s="25" t="s">
        <v>252</v>
      </c>
      <c r="W22" s="25" t="s">
        <v>153</v>
      </c>
      <c r="X22" s="25" t="s">
        <v>164</v>
      </c>
      <c r="Y22" s="25">
        <v>40</v>
      </c>
      <c r="AA22">
        <f t="shared" si="0"/>
        <v>14</v>
      </c>
      <c r="AB22" s="279">
        <v>44581</v>
      </c>
      <c r="AC22" s="6">
        <v>1</v>
      </c>
      <c r="AD22">
        <f t="shared" si="1"/>
        <v>14</v>
      </c>
    </row>
    <row r="23" spans="1:30" x14ac:dyDescent="0.25">
      <c r="A23">
        <v>22</v>
      </c>
      <c r="B23">
        <v>1010</v>
      </c>
      <c r="C23" t="s">
        <v>26</v>
      </c>
      <c r="D23">
        <v>2</v>
      </c>
      <c r="I23" t="s">
        <v>183</v>
      </c>
      <c r="S23" t="s">
        <v>187</v>
      </c>
      <c r="T23">
        <v>21</v>
      </c>
      <c r="U23">
        <v>1</v>
      </c>
      <c r="V23" s="25" t="s">
        <v>253</v>
      </c>
      <c r="W23" s="25" t="s">
        <v>154</v>
      </c>
      <c r="X23" s="25" t="s">
        <v>238</v>
      </c>
      <c r="Y23" s="25">
        <v>55</v>
      </c>
      <c r="AA23">
        <f t="shared" si="0"/>
        <v>15</v>
      </c>
      <c r="AB23" s="279">
        <v>44582</v>
      </c>
      <c r="AC23" s="6">
        <v>1</v>
      </c>
      <c r="AD23">
        <f t="shared" si="1"/>
        <v>15</v>
      </c>
    </row>
    <row r="24" spans="1:30" x14ac:dyDescent="0.25">
      <c r="A24">
        <v>23</v>
      </c>
      <c r="B24">
        <v>1001</v>
      </c>
      <c r="C24" t="s">
        <v>55</v>
      </c>
      <c r="D24">
        <v>3</v>
      </c>
      <c r="I24" t="s">
        <v>185</v>
      </c>
      <c r="S24" t="s">
        <v>192</v>
      </c>
      <c r="T24">
        <v>22</v>
      </c>
      <c r="U24">
        <v>1</v>
      </c>
      <c r="V24" s="25" t="s">
        <v>156</v>
      </c>
      <c r="W24" s="25" t="s">
        <v>154</v>
      </c>
      <c r="X24" s="25" t="s">
        <v>238</v>
      </c>
      <c r="Y24" s="25">
        <v>55</v>
      </c>
      <c r="AA24">
        <f t="shared" si="0"/>
        <v>15</v>
      </c>
      <c r="AB24" s="279">
        <v>44583</v>
      </c>
      <c r="AC24" s="6">
        <v>0</v>
      </c>
      <c r="AD24">
        <f t="shared" si="1"/>
        <v>15</v>
      </c>
    </row>
    <row r="25" spans="1:30" x14ac:dyDescent="0.25">
      <c r="A25">
        <v>24</v>
      </c>
      <c r="B25">
        <v>101</v>
      </c>
      <c r="C25" t="s">
        <v>48</v>
      </c>
      <c r="D25">
        <v>4</v>
      </c>
      <c r="I25" t="s">
        <v>187</v>
      </c>
      <c r="S25" t="s">
        <v>194</v>
      </c>
      <c r="T25">
        <v>23</v>
      </c>
      <c r="U25">
        <v>1</v>
      </c>
      <c r="V25" s="25" t="s">
        <v>254</v>
      </c>
      <c r="W25" s="25" t="s">
        <v>154</v>
      </c>
      <c r="X25" s="25" t="s">
        <v>238</v>
      </c>
      <c r="Y25" s="25">
        <v>40</v>
      </c>
      <c r="AA25">
        <f t="shared" si="0"/>
        <v>15</v>
      </c>
      <c r="AB25" s="279">
        <v>44584</v>
      </c>
      <c r="AC25" s="6">
        <v>0</v>
      </c>
      <c r="AD25">
        <f t="shared" si="1"/>
        <v>15</v>
      </c>
    </row>
    <row r="26" spans="1:30" x14ac:dyDescent="0.25">
      <c r="A26">
        <v>25</v>
      </c>
      <c r="B26">
        <v>0</v>
      </c>
      <c r="C26">
        <v>0</v>
      </c>
      <c r="D26">
        <v>5</v>
      </c>
      <c r="I26" t="s">
        <v>189</v>
      </c>
      <c r="S26" t="s">
        <v>166</v>
      </c>
      <c r="T26">
        <v>24</v>
      </c>
      <c r="U26">
        <v>100</v>
      </c>
      <c r="V26" s="25" t="s">
        <v>158</v>
      </c>
      <c r="W26" s="25" t="s">
        <v>153</v>
      </c>
      <c r="X26" s="25" t="s">
        <v>164</v>
      </c>
      <c r="Y26" s="25">
        <v>40</v>
      </c>
      <c r="AA26">
        <f t="shared" si="0"/>
        <v>16</v>
      </c>
      <c r="AB26" s="279">
        <v>44585</v>
      </c>
      <c r="AC26" s="6">
        <v>1</v>
      </c>
      <c r="AD26">
        <f t="shared" si="1"/>
        <v>16</v>
      </c>
    </row>
    <row r="27" spans="1:30" x14ac:dyDescent="0.25">
      <c r="A27">
        <v>26</v>
      </c>
      <c r="I27" t="s">
        <v>190</v>
      </c>
      <c r="S27" s="191" t="s">
        <v>196</v>
      </c>
      <c r="T27">
        <v>25</v>
      </c>
      <c r="U27">
        <v>1</v>
      </c>
      <c r="V27" s="25" t="s">
        <v>255</v>
      </c>
      <c r="W27" s="25" t="s">
        <v>153</v>
      </c>
      <c r="X27" s="25" t="s">
        <v>164</v>
      </c>
      <c r="Y27" s="25">
        <v>40</v>
      </c>
      <c r="AA27">
        <f t="shared" si="0"/>
        <v>17</v>
      </c>
      <c r="AB27" s="279">
        <v>44586</v>
      </c>
      <c r="AC27" s="6">
        <v>1</v>
      </c>
      <c r="AD27">
        <f t="shared" si="1"/>
        <v>17</v>
      </c>
    </row>
    <row r="28" spans="1:30" x14ac:dyDescent="0.25">
      <c r="A28">
        <v>27</v>
      </c>
      <c r="I28" t="s">
        <v>192</v>
      </c>
      <c r="S28" t="s">
        <v>198</v>
      </c>
      <c r="T28">
        <v>26</v>
      </c>
      <c r="U28">
        <v>1</v>
      </c>
      <c r="V28" s="25" t="s">
        <v>256</v>
      </c>
      <c r="W28" s="25" t="s">
        <v>154</v>
      </c>
      <c r="X28" s="25" t="s">
        <v>238</v>
      </c>
      <c r="Y28" s="25">
        <v>55</v>
      </c>
      <c r="AA28">
        <f t="shared" si="0"/>
        <v>18</v>
      </c>
      <c r="AB28" s="279">
        <v>44587</v>
      </c>
      <c r="AC28" s="6">
        <v>1</v>
      </c>
      <c r="AD28">
        <f t="shared" si="1"/>
        <v>18</v>
      </c>
    </row>
    <row r="29" spans="1:30" x14ac:dyDescent="0.25">
      <c r="A29">
        <v>28</v>
      </c>
      <c r="I29" t="s">
        <v>194</v>
      </c>
      <c r="S29" t="s">
        <v>200</v>
      </c>
      <c r="T29">
        <v>27</v>
      </c>
      <c r="U29">
        <v>100</v>
      </c>
      <c r="V29" s="25" t="s">
        <v>257</v>
      </c>
      <c r="W29" s="25" t="s">
        <v>153</v>
      </c>
      <c r="X29" s="25" t="s">
        <v>164</v>
      </c>
      <c r="Y29" s="25">
        <v>50</v>
      </c>
      <c r="AA29">
        <f t="shared" si="0"/>
        <v>19</v>
      </c>
      <c r="AB29" s="279">
        <v>44588</v>
      </c>
      <c r="AC29" s="6">
        <v>1</v>
      </c>
      <c r="AD29">
        <f t="shared" si="1"/>
        <v>19</v>
      </c>
    </row>
    <row r="30" spans="1:30" x14ac:dyDescent="0.25">
      <c r="A30">
        <v>29</v>
      </c>
      <c r="I30" t="s">
        <v>196</v>
      </c>
      <c r="S30" t="s">
        <v>204</v>
      </c>
      <c r="T30">
        <v>28</v>
      </c>
      <c r="U30">
        <v>1</v>
      </c>
      <c r="V30" s="25" t="s">
        <v>258</v>
      </c>
      <c r="W30" s="25" t="s">
        <v>153</v>
      </c>
      <c r="X30" s="25" t="s">
        <v>164</v>
      </c>
      <c r="Y30" s="25">
        <v>35</v>
      </c>
      <c r="AA30">
        <f t="shared" si="0"/>
        <v>20</v>
      </c>
      <c r="AB30" s="279">
        <v>44589</v>
      </c>
      <c r="AC30" s="6">
        <v>1</v>
      </c>
      <c r="AD30">
        <f t="shared" si="1"/>
        <v>20</v>
      </c>
    </row>
    <row r="31" spans="1:30" x14ac:dyDescent="0.25">
      <c r="A31">
        <v>30</v>
      </c>
      <c r="I31" t="s">
        <v>198</v>
      </c>
      <c r="S31" t="s">
        <v>202</v>
      </c>
      <c r="T31">
        <v>29</v>
      </c>
      <c r="U31">
        <v>1</v>
      </c>
      <c r="V31" s="25" t="s">
        <v>160</v>
      </c>
      <c r="W31" s="25" t="s">
        <v>153</v>
      </c>
      <c r="X31" s="25" t="s">
        <v>164</v>
      </c>
      <c r="Y31" s="25">
        <v>45</v>
      </c>
      <c r="AA31">
        <f t="shared" si="0"/>
        <v>20</v>
      </c>
      <c r="AB31" s="279">
        <v>44590</v>
      </c>
      <c r="AC31" s="6">
        <v>0</v>
      </c>
      <c r="AD31">
        <f t="shared" si="1"/>
        <v>20</v>
      </c>
    </row>
    <row r="32" spans="1:30" x14ac:dyDescent="0.25">
      <c r="A32">
        <v>31</v>
      </c>
      <c r="I32" t="s">
        <v>200</v>
      </c>
      <c r="S32" t="s">
        <v>208</v>
      </c>
      <c r="T32">
        <v>30</v>
      </c>
      <c r="U32">
        <v>100</v>
      </c>
      <c r="V32" s="25" t="s">
        <v>162</v>
      </c>
      <c r="W32" s="25" t="s">
        <v>153</v>
      </c>
      <c r="X32" s="25" t="s">
        <v>164</v>
      </c>
      <c r="Y32" s="25">
        <v>55</v>
      </c>
      <c r="AA32">
        <f t="shared" si="0"/>
        <v>20</v>
      </c>
      <c r="AB32" s="279">
        <v>44591</v>
      </c>
      <c r="AC32" s="6">
        <v>0</v>
      </c>
      <c r="AD32">
        <f t="shared" si="1"/>
        <v>20</v>
      </c>
    </row>
    <row r="33" spans="1:30" x14ac:dyDescent="0.25">
      <c r="A33">
        <v>32</v>
      </c>
      <c r="I33" t="s">
        <v>202</v>
      </c>
      <c r="S33" t="s">
        <v>210</v>
      </c>
      <c r="T33">
        <v>31</v>
      </c>
      <c r="U33">
        <v>1</v>
      </c>
      <c r="V33" s="25" t="s">
        <v>473</v>
      </c>
      <c r="W33" s="25" t="s">
        <v>154</v>
      </c>
      <c r="X33" s="25" t="s">
        <v>238</v>
      </c>
      <c r="Y33" s="25">
        <v>65</v>
      </c>
      <c r="AA33">
        <f t="shared" si="0"/>
        <v>21</v>
      </c>
      <c r="AB33" s="279">
        <v>44592</v>
      </c>
      <c r="AC33" s="6">
        <v>1</v>
      </c>
      <c r="AD33">
        <f t="shared" si="1"/>
        <v>21</v>
      </c>
    </row>
    <row r="34" spans="1:30" x14ac:dyDescent="0.25">
      <c r="A34">
        <v>33</v>
      </c>
      <c r="I34" t="s">
        <v>204</v>
      </c>
      <c r="S34" s="191" t="s">
        <v>154</v>
      </c>
      <c r="T34">
        <v>32</v>
      </c>
      <c r="U34">
        <v>1</v>
      </c>
      <c r="V34" s="25" t="s">
        <v>259</v>
      </c>
      <c r="W34" s="25" t="s">
        <v>153</v>
      </c>
      <c r="X34" s="25" t="s">
        <v>164</v>
      </c>
      <c r="Y34" s="25">
        <v>35</v>
      </c>
      <c r="AA34">
        <f t="shared" si="0"/>
        <v>22</v>
      </c>
      <c r="AB34" s="279">
        <v>44593</v>
      </c>
      <c r="AC34" s="6">
        <v>1</v>
      </c>
      <c r="AD34">
        <f t="shared" si="1"/>
        <v>22</v>
      </c>
    </row>
    <row r="35" spans="1:30" x14ac:dyDescent="0.25">
      <c r="A35">
        <v>34</v>
      </c>
      <c r="I35" t="s">
        <v>206</v>
      </c>
      <c r="S35" t="s">
        <v>190</v>
      </c>
      <c r="T35">
        <v>33</v>
      </c>
      <c r="U35">
        <v>1</v>
      </c>
      <c r="V35" s="25" t="s">
        <v>260</v>
      </c>
      <c r="W35" s="25" t="s">
        <v>154</v>
      </c>
      <c r="X35" s="25" t="s">
        <v>238</v>
      </c>
      <c r="Y35" s="25">
        <v>50</v>
      </c>
      <c r="AA35">
        <f t="shared" si="0"/>
        <v>23</v>
      </c>
      <c r="AB35" s="279">
        <v>44594</v>
      </c>
      <c r="AC35" s="6">
        <v>1</v>
      </c>
      <c r="AD35">
        <f t="shared" si="1"/>
        <v>23</v>
      </c>
    </row>
    <row r="36" spans="1:30" x14ac:dyDescent="0.25">
      <c r="A36">
        <v>35</v>
      </c>
      <c r="I36" t="s">
        <v>208</v>
      </c>
      <c r="S36" t="s">
        <v>179</v>
      </c>
      <c r="T36">
        <v>34</v>
      </c>
      <c r="U36">
        <v>1</v>
      </c>
      <c r="V36" s="25" t="s">
        <v>261</v>
      </c>
      <c r="W36" s="25" t="s">
        <v>154</v>
      </c>
      <c r="X36" s="25" t="s">
        <v>238</v>
      </c>
      <c r="Y36" s="25">
        <v>50</v>
      </c>
      <c r="AA36">
        <f t="shared" si="0"/>
        <v>24</v>
      </c>
      <c r="AB36" s="279">
        <v>44595</v>
      </c>
      <c r="AC36" s="6">
        <v>1</v>
      </c>
      <c r="AD36">
        <f t="shared" si="1"/>
        <v>24</v>
      </c>
    </row>
    <row r="37" spans="1:30" x14ac:dyDescent="0.25">
      <c r="A37">
        <v>36</v>
      </c>
      <c r="I37" t="s">
        <v>210</v>
      </c>
      <c r="T37" t="str">
        <f t="shared" ref="T37:T68" si="2">RIGHT(S37,3)</f>
        <v/>
      </c>
      <c r="V37" s="25" t="s">
        <v>262</v>
      </c>
      <c r="W37" s="25" t="s">
        <v>153</v>
      </c>
      <c r="X37" s="25" t="s">
        <v>164</v>
      </c>
      <c r="Y37" s="25">
        <v>40</v>
      </c>
      <c r="AA37">
        <f t="shared" si="0"/>
        <v>25</v>
      </c>
      <c r="AB37" s="279">
        <v>44596</v>
      </c>
      <c r="AC37" s="6">
        <v>1</v>
      </c>
      <c r="AD37">
        <f t="shared" si="1"/>
        <v>25</v>
      </c>
    </row>
    <row r="38" spans="1:30" x14ac:dyDescent="0.25">
      <c r="A38">
        <v>37</v>
      </c>
      <c r="T38" t="str">
        <f t="shared" si="2"/>
        <v/>
      </c>
      <c r="V38" s="25" t="s">
        <v>263</v>
      </c>
      <c r="W38" s="25" t="s">
        <v>153</v>
      </c>
      <c r="X38" s="25" t="s">
        <v>164</v>
      </c>
      <c r="Y38" s="257">
        <v>50</v>
      </c>
      <c r="AA38">
        <f t="shared" si="0"/>
        <v>25</v>
      </c>
      <c r="AB38" s="279">
        <v>44597</v>
      </c>
      <c r="AC38" s="6">
        <v>0</v>
      </c>
      <c r="AD38">
        <f t="shared" si="1"/>
        <v>25</v>
      </c>
    </row>
    <row r="39" spans="1:30" x14ac:dyDescent="0.25">
      <c r="A39">
        <v>38</v>
      </c>
      <c r="T39" t="str">
        <f t="shared" si="2"/>
        <v/>
      </c>
      <c r="V39" s="25" t="s">
        <v>165</v>
      </c>
      <c r="W39" s="25" t="s">
        <v>153</v>
      </c>
      <c r="X39" s="25" t="s">
        <v>164</v>
      </c>
      <c r="Y39" s="25">
        <v>40</v>
      </c>
      <c r="AA39">
        <f t="shared" si="0"/>
        <v>25</v>
      </c>
      <c r="AB39" s="279">
        <v>44598</v>
      </c>
      <c r="AC39" s="6">
        <v>0</v>
      </c>
      <c r="AD39">
        <f t="shared" si="1"/>
        <v>25</v>
      </c>
    </row>
    <row r="40" spans="1:30" x14ac:dyDescent="0.25">
      <c r="A40">
        <v>39</v>
      </c>
      <c r="T40" t="str">
        <f t="shared" si="2"/>
        <v/>
      </c>
      <c r="V40" s="25" t="s">
        <v>264</v>
      </c>
      <c r="W40" s="25" t="s">
        <v>153</v>
      </c>
      <c r="X40" s="25" t="s">
        <v>164</v>
      </c>
      <c r="Y40" s="25">
        <v>50</v>
      </c>
      <c r="AA40">
        <f t="shared" si="0"/>
        <v>26</v>
      </c>
      <c r="AB40" s="279">
        <v>44599</v>
      </c>
      <c r="AC40" s="6">
        <v>1</v>
      </c>
      <c r="AD40">
        <f t="shared" si="1"/>
        <v>26</v>
      </c>
    </row>
    <row r="41" spans="1:30" x14ac:dyDescent="0.25">
      <c r="A41">
        <v>40</v>
      </c>
      <c r="T41" t="str">
        <f t="shared" si="2"/>
        <v/>
      </c>
      <c r="V41" s="25" t="s">
        <v>265</v>
      </c>
      <c r="W41" s="25" t="s">
        <v>153</v>
      </c>
      <c r="X41" s="25" t="s">
        <v>164</v>
      </c>
      <c r="Y41" s="257">
        <v>50</v>
      </c>
      <c r="AA41">
        <f t="shared" si="0"/>
        <v>27</v>
      </c>
      <c r="AB41" s="279">
        <v>44600</v>
      </c>
      <c r="AC41" s="6">
        <v>1</v>
      </c>
      <c r="AD41">
        <f t="shared" si="1"/>
        <v>27</v>
      </c>
    </row>
    <row r="42" spans="1:30" x14ac:dyDescent="0.25">
      <c r="A42">
        <v>41</v>
      </c>
      <c r="T42" t="str">
        <f t="shared" si="2"/>
        <v/>
      </c>
      <c r="V42" s="25" t="s">
        <v>474</v>
      </c>
      <c r="W42" s="25" t="s">
        <v>153</v>
      </c>
      <c r="X42" s="25" t="s">
        <v>164</v>
      </c>
      <c r="Y42" s="25">
        <v>45</v>
      </c>
      <c r="AA42">
        <f t="shared" si="0"/>
        <v>28</v>
      </c>
      <c r="AB42" s="279">
        <v>44601</v>
      </c>
      <c r="AC42" s="6">
        <v>1</v>
      </c>
      <c r="AD42">
        <f t="shared" si="1"/>
        <v>28</v>
      </c>
    </row>
    <row r="43" spans="1:30" x14ac:dyDescent="0.25">
      <c r="A43">
        <v>42</v>
      </c>
      <c r="T43" t="str">
        <f t="shared" si="2"/>
        <v/>
      </c>
      <c r="V43" s="25" t="s">
        <v>266</v>
      </c>
      <c r="W43" s="25" t="s">
        <v>153</v>
      </c>
      <c r="X43" s="25" t="s">
        <v>164</v>
      </c>
      <c r="Y43" s="25">
        <v>50</v>
      </c>
      <c r="AA43">
        <f t="shared" si="0"/>
        <v>29</v>
      </c>
      <c r="AB43" s="279">
        <v>44602</v>
      </c>
      <c r="AC43" s="6">
        <v>1</v>
      </c>
      <c r="AD43">
        <f t="shared" si="1"/>
        <v>29</v>
      </c>
    </row>
    <row r="44" spans="1:30" x14ac:dyDescent="0.25">
      <c r="A44">
        <v>43</v>
      </c>
      <c r="T44" t="str">
        <f t="shared" si="2"/>
        <v/>
      </c>
      <c r="V44" s="25" t="s">
        <v>267</v>
      </c>
      <c r="W44" s="25" t="s">
        <v>153</v>
      </c>
      <c r="X44" s="25" t="s">
        <v>164</v>
      </c>
      <c r="Y44" s="25">
        <v>45</v>
      </c>
      <c r="AA44">
        <f t="shared" si="0"/>
        <v>30</v>
      </c>
      <c r="AB44" s="279">
        <v>44603</v>
      </c>
      <c r="AC44" s="6">
        <v>1</v>
      </c>
      <c r="AD44">
        <f t="shared" si="1"/>
        <v>30</v>
      </c>
    </row>
    <row r="45" spans="1:30" x14ac:dyDescent="0.25">
      <c r="A45">
        <v>44</v>
      </c>
      <c r="T45" t="str">
        <f t="shared" si="2"/>
        <v/>
      </c>
      <c r="V45" s="25" t="s">
        <v>268</v>
      </c>
      <c r="W45" s="25" t="s">
        <v>153</v>
      </c>
      <c r="X45" s="25" t="s">
        <v>164</v>
      </c>
      <c r="Y45" s="25">
        <v>50</v>
      </c>
      <c r="AA45">
        <f t="shared" si="0"/>
        <v>30</v>
      </c>
      <c r="AB45" s="279">
        <v>44604</v>
      </c>
      <c r="AC45" s="6">
        <v>0</v>
      </c>
      <c r="AD45">
        <f t="shared" si="1"/>
        <v>30</v>
      </c>
    </row>
    <row r="46" spans="1:30" x14ac:dyDescent="0.25">
      <c r="A46">
        <v>45</v>
      </c>
      <c r="T46" t="str">
        <f t="shared" si="2"/>
        <v/>
      </c>
      <c r="V46" s="25" t="s">
        <v>269</v>
      </c>
      <c r="W46" s="25" t="s">
        <v>153</v>
      </c>
      <c r="X46" s="25" t="s">
        <v>164</v>
      </c>
      <c r="Y46" s="25">
        <v>40</v>
      </c>
      <c r="AA46">
        <f t="shared" si="0"/>
        <v>30</v>
      </c>
      <c r="AB46" s="279">
        <v>44605</v>
      </c>
      <c r="AC46" s="6">
        <v>0</v>
      </c>
      <c r="AD46">
        <f t="shared" si="1"/>
        <v>30</v>
      </c>
    </row>
    <row r="47" spans="1:30" x14ac:dyDescent="0.25">
      <c r="A47">
        <v>46</v>
      </c>
      <c r="T47" t="str">
        <f t="shared" si="2"/>
        <v/>
      </c>
      <c r="V47" s="25" t="s">
        <v>270</v>
      </c>
      <c r="W47" s="25" t="s">
        <v>153</v>
      </c>
      <c r="X47" s="25" t="s">
        <v>164</v>
      </c>
      <c r="Y47" s="257">
        <v>40</v>
      </c>
      <c r="AA47">
        <f t="shared" si="0"/>
        <v>31</v>
      </c>
      <c r="AB47" s="279">
        <v>44606</v>
      </c>
      <c r="AC47" s="6">
        <v>1</v>
      </c>
      <c r="AD47">
        <f t="shared" si="1"/>
        <v>31</v>
      </c>
    </row>
    <row r="48" spans="1:30" x14ac:dyDescent="0.25">
      <c r="A48">
        <v>47</v>
      </c>
      <c r="T48" t="str">
        <f t="shared" si="2"/>
        <v/>
      </c>
      <c r="V48" s="25" t="s">
        <v>271</v>
      </c>
      <c r="W48" s="25" t="s">
        <v>154</v>
      </c>
      <c r="X48" s="25" t="s">
        <v>238</v>
      </c>
      <c r="Y48" s="25">
        <v>45</v>
      </c>
      <c r="AA48">
        <f t="shared" si="0"/>
        <v>32</v>
      </c>
      <c r="AB48" s="279">
        <v>44607</v>
      </c>
      <c r="AC48" s="6">
        <v>1</v>
      </c>
      <c r="AD48">
        <f t="shared" si="1"/>
        <v>32</v>
      </c>
    </row>
    <row r="49" spans="1:30" x14ac:dyDescent="0.25">
      <c r="A49">
        <v>48</v>
      </c>
      <c r="T49" t="str">
        <f t="shared" si="2"/>
        <v/>
      </c>
      <c r="V49" s="25" t="s">
        <v>272</v>
      </c>
      <c r="W49" s="25" t="s">
        <v>153</v>
      </c>
      <c r="X49" s="25" t="s">
        <v>164</v>
      </c>
      <c r="Y49" s="25">
        <v>45</v>
      </c>
      <c r="AA49">
        <f t="shared" si="0"/>
        <v>33</v>
      </c>
      <c r="AB49" s="279">
        <v>44608</v>
      </c>
      <c r="AC49" s="6">
        <v>1</v>
      </c>
      <c r="AD49">
        <f t="shared" si="1"/>
        <v>33</v>
      </c>
    </row>
    <row r="50" spans="1:30" x14ac:dyDescent="0.25">
      <c r="A50">
        <v>49</v>
      </c>
      <c r="T50" t="str">
        <f t="shared" si="2"/>
        <v/>
      </c>
      <c r="V50" s="25" t="s">
        <v>273</v>
      </c>
      <c r="W50" s="25" t="s">
        <v>153</v>
      </c>
      <c r="X50" s="25" t="s">
        <v>164</v>
      </c>
      <c r="Y50" s="25">
        <v>45</v>
      </c>
      <c r="AA50">
        <f t="shared" si="0"/>
        <v>34</v>
      </c>
      <c r="AB50" s="279">
        <v>44609</v>
      </c>
      <c r="AC50" s="6">
        <v>1</v>
      </c>
      <c r="AD50">
        <f t="shared" si="1"/>
        <v>34</v>
      </c>
    </row>
    <row r="51" spans="1:30" x14ac:dyDescent="0.25">
      <c r="A51">
        <v>50</v>
      </c>
      <c r="T51" t="str">
        <f t="shared" si="2"/>
        <v/>
      </c>
      <c r="V51" s="25" t="s">
        <v>274</v>
      </c>
      <c r="W51" s="25" t="s">
        <v>154</v>
      </c>
      <c r="X51" s="25" t="s">
        <v>238</v>
      </c>
      <c r="Y51" s="25">
        <v>50</v>
      </c>
      <c r="AA51">
        <f t="shared" si="0"/>
        <v>35</v>
      </c>
      <c r="AB51" s="279">
        <v>44610</v>
      </c>
      <c r="AC51" s="6">
        <v>1</v>
      </c>
      <c r="AD51">
        <f t="shared" si="1"/>
        <v>35</v>
      </c>
    </row>
    <row r="52" spans="1:30" x14ac:dyDescent="0.25">
      <c r="A52">
        <v>51</v>
      </c>
      <c r="T52" t="str">
        <f t="shared" si="2"/>
        <v/>
      </c>
      <c r="V52" s="25" t="s">
        <v>275</v>
      </c>
      <c r="W52" s="25" t="s">
        <v>154</v>
      </c>
      <c r="X52" s="25" t="s">
        <v>238</v>
      </c>
      <c r="Y52" s="25">
        <v>45</v>
      </c>
      <c r="AA52">
        <f t="shared" si="0"/>
        <v>35</v>
      </c>
      <c r="AB52" s="279">
        <v>44611</v>
      </c>
      <c r="AC52" s="6">
        <v>0</v>
      </c>
      <c r="AD52">
        <f t="shared" si="1"/>
        <v>35</v>
      </c>
    </row>
    <row r="53" spans="1:30" x14ac:dyDescent="0.25">
      <c r="A53">
        <v>52</v>
      </c>
      <c r="T53" t="str">
        <f t="shared" si="2"/>
        <v/>
      </c>
      <c r="V53" s="25" t="s">
        <v>276</v>
      </c>
      <c r="W53" s="25" t="s">
        <v>153</v>
      </c>
      <c r="X53" s="25" t="s">
        <v>164</v>
      </c>
      <c r="Y53" s="25">
        <v>45</v>
      </c>
      <c r="AA53">
        <f t="shared" si="0"/>
        <v>35</v>
      </c>
      <c r="AB53" s="279">
        <v>44612</v>
      </c>
      <c r="AC53" s="6">
        <v>0</v>
      </c>
      <c r="AD53">
        <f t="shared" si="1"/>
        <v>35</v>
      </c>
    </row>
    <row r="54" spans="1:30" x14ac:dyDescent="0.25">
      <c r="A54">
        <v>53</v>
      </c>
      <c r="T54" t="str">
        <f t="shared" si="2"/>
        <v/>
      </c>
      <c r="V54" s="25" t="s">
        <v>277</v>
      </c>
      <c r="W54" s="25" t="s">
        <v>154</v>
      </c>
      <c r="X54" s="25" t="s">
        <v>238</v>
      </c>
      <c r="Y54" s="25">
        <v>55</v>
      </c>
      <c r="AA54">
        <f t="shared" si="0"/>
        <v>36</v>
      </c>
      <c r="AB54" s="279">
        <v>44613</v>
      </c>
      <c r="AC54" s="6">
        <v>1</v>
      </c>
      <c r="AD54">
        <f t="shared" si="1"/>
        <v>36</v>
      </c>
    </row>
    <row r="55" spans="1:30" x14ac:dyDescent="0.25">
      <c r="A55">
        <v>54</v>
      </c>
      <c r="T55" t="str">
        <f t="shared" si="2"/>
        <v/>
      </c>
      <c r="V55" s="25" t="s">
        <v>168</v>
      </c>
      <c r="W55" s="25" t="s">
        <v>153</v>
      </c>
      <c r="X55" s="25" t="s">
        <v>164</v>
      </c>
      <c r="Y55" s="257">
        <v>40</v>
      </c>
      <c r="AA55">
        <f t="shared" si="0"/>
        <v>37</v>
      </c>
      <c r="AB55" s="279">
        <v>44614</v>
      </c>
      <c r="AC55" s="6">
        <v>1</v>
      </c>
      <c r="AD55">
        <f t="shared" si="1"/>
        <v>37</v>
      </c>
    </row>
    <row r="56" spans="1:30" x14ac:dyDescent="0.25">
      <c r="A56">
        <v>55</v>
      </c>
      <c r="T56" t="str">
        <f t="shared" si="2"/>
        <v/>
      </c>
      <c r="V56" s="25" t="s">
        <v>170</v>
      </c>
      <c r="W56" s="25" t="s">
        <v>153</v>
      </c>
      <c r="X56" s="25" t="s">
        <v>164</v>
      </c>
      <c r="Y56" s="25">
        <v>45</v>
      </c>
      <c r="AA56">
        <f t="shared" si="0"/>
        <v>38</v>
      </c>
      <c r="AB56" s="279">
        <v>44615</v>
      </c>
      <c r="AC56" s="6">
        <v>1</v>
      </c>
      <c r="AD56">
        <f t="shared" si="1"/>
        <v>38</v>
      </c>
    </row>
    <row r="57" spans="1:30" x14ac:dyDescent="0.25">
      <c r="A57">
        <v>56</v>
      </c>
      <c r="T57" t="str">
        <f t="shared" si="2"/>
        <v/>
      </c>
      <c r="V57" s="25" t="s">
        <v>278</v>
      </c>
      <c r="W57" s="25" t="s">
        <v>153</v>
      </c>
      <c r="X57" s="25" t="s">
        <v>164</v>
      </c>
      <c r="Y57" s="25">
        <v>40</v>
      </c>
      <c r="AA57">
        <f t="shared" si="0"/>
        <v>39</v>
      </c>
      <c r="AB57" s="279">
        <v>44616</v>
      </c>
      <c r="AC57" s="6">
        <v>1</v>
      </c>
      <c r="AD57">
        <f t="shared" si="1"/>
        <v>39</v>
      </c>
    </row>
    <row r="58" spans="1:30" x14ac:dyDescent="0.25">
      <c r="A58">
        <v>57</v>
      </c>
      <c r="T58" t="str">
        <f t="shared" si="2"/>
        <v/>
      </c>
      <c r="V58" s="25" t="s">
        <v>279</v>
      </c>
      <c r="W58" s="25" t="s">
        <v>153</v>
      </c>
      <c r="X58" s="25" t="s">
        <v>164</v>
      </c>
      <c r="Y58" s="25">
        <v>40</v>
      </c>
      <c r="AA58">
        <f t="shared" si="0"/>
        <v>40</v>
      </c>
      <c r="AB58" s="279">
        <v>44617</v>
      </c>
      <c r="AC58" s="6">
        <v>1</v>
      </c>
      <c r="AD58">
        <f t="shared" si="1"/>
        <v>40</v>
      </c>
    </row>
    <row r="59" spans="1:30" x14ac:dyDescent="0.25">
      <c r="A59">
        <v>58</v>
      </c>
      <c r="T59" t="str">
        <f t="shared" si="2"/>
        <v/>
      </c>
      <c r="V59" s="25" t="s">
        <v>280</v>
      </c>
      <c r="W59" s="25" t="s">
        <v>153</v>
      </c>
      <c r="X59" s="25" t="s">
        <v>164</v>
      </c>
      <c r="Y59" s="25">
        <v>40</v>
      </c>
      <c r="AA59">
        <f t="shared" si="0"/>
        <v>40</v>
      </c>
      <c r="AB59" s="279">
        <v>44618</v>
      </c>
      <c r="AC59" s="6">
        <v>0</v>
      </c>
      <c r="AD59">
        <f t="shared" si="1"/>
        <v>40</v>
      </c>
    </row>
    <row r="60" spans="1:30" x14ac:dyDescent="0.25">
      <c r="A60">
        <v>59</v>
      </c>
      <c r="T60" t="str">
        <f t="shared" si="2"/>
        <v/>
      </c>
      <c r="V60" s="25" t="s">
        <v>281</v>
      </c>
      <c r="W60" s="25" t="s">
        <v>153</v>
      </c>
      <c r="X60" s="25" t="s">
        <v>164</v>
      </c>
      <c r="Y60" s="25">
        <v>50</v>
      </c>
      <c r="AA60">
        <f t="shared" si="0"/>
        <v>40</v>
      </c>
      <c r="AB60" s="279">
        <v>44619</v>
      </c>
      <c r="AC60" s="6">
        <v>0</v>
      </c>
      <c r="AD60">
        <f t="shared" si="1"/>
        <v>40</v>
      </c>
    </row>
    <row r="61" spans="1:30" x14ac:dyDescent="0.25">
      <c r="A61">
        <v>60</v>
      </c>
      <c r="T61" t="str">
        <f t="shared" si="2"/>
        <v/>
      </c>
      <c r="V61" s="25" t="s">
        <v>173</v>
      </c>
      <c r="W61" s="25" t="s">
        <v>153</v>
      </c>
      <c r="X61" s="25" t="s">
        <v>164</v>
      </c>
      <c r="Y61" s="25">
        <v>60</v>
      </c>
      <c r="AA61">
        <f t="shared" si="0"/>
        <v>41</v>
      </c>
      <c r="AB61" s="279">
        <v>44620</v>
      </c>
      <c r="AC61" s="6">
        <v>1</v>
      </c>
      <c r="AD61">
        <f t="shared" si="1"/>
        <v>41</v>
      </c>
    </row>
    <row r="62" spans="1:30" x14ac:dyDescent="0.25">
      <c r="A62">
        <v>61</v>
      </c>
      <c r="T62" t="str">
        <f t="shared" si="2"/>
        <v/>
      </c>
      <c r="V62" s="25" t="s">
        <v>282</v>
      </c>
      <c r="W62" s="25" t="s">
        <v>153</v>
      </c>
      <c r="X62" s="25" t="s">
        <v>164</v>
      </c>
      <c r="Y62" s="25">
        <v>50</v>
      </c>
      <c r="AA62">
        <f t="shared" si="0"/>
        <v>42</v>
      </c>
      <c r="AB62" s="279">
        <v>44621</v>
      </c>
      <c r="AC62" s="6">
        <v>1</v>
      </c>
      <c r="AD62">
        <f t="shared" si="1"/>
        <v>42</v>
      </c>
    </row>
    <row r="63" spans="1:30" x14ac:dyDescent="0.25">
      <c r="T63" t="str">
        <f t="shared" si="2"/>
        <v/>
      </c>
      <c r="V63" s="25" t="s">
        <v>175</v>
      </c>
      <c r="W63" s="25" t="s">
        <v>154</v>
      </c>
      <c r="X63" s="25" t="s">
        <v>238</v>
      </c>
      <c r="Y63" s="25">
        <v>55</v>
      </c>
      <c r="AA63">
        <f t="shared" si="0"/>
        <v>43</v>
      </c>
      <c r="AB63" s="279">
        <v>44622</v>
      </c>
      <c r="AC63" s="6">
        <v>1</v>
      </c>
      <c r="AD63">
        <f t="shared" si="1"/>
        <v>43</v>
      </c>
    </row>
    <row r="64" spans="1:30" x14ac:dyDescent="0.25">
      <c r="T64" t="str">
        <f t="shared" si="2"/>
        <v/>
      </c>
      <c r="V64" s="25" t="s">
        <v>177</v>
      </c>
      <c r="W64" s="25" t="s">
        <v>154</v>
      </c>
      <c r="X64" s="25" t="s">
        <v>238</v>
      </c>
      <c r="Y64" s="25">
        <v>65</v>
      </c>
      <c r="AA64">
        <f t="shared" si="0"/>
        <v>44</v>
      </c>
      <c r="AB64" s="279">
        <v>44623</v>
      </c>
      <c r="AC64" s="6">
        <v>1</v>
      </c>
      <c r="AD64">
        <f t="shared" si="1"/>
        <v>44</v>
      </c>
    </row>
    <row r="65" spans="20:30" x14ac:dyDescent="0.25">
      <c r="T65" t="str">
        <f t="shared" si="2"/>
        <v/>
      </c>
      <c r="V65" s="25" t="s">
        <v>283</v>
      </c>
      <c r="W65" s="25" t="s">
        <v>153</v>
      </c>
      <c r="X65" s="25" t="s">
        <v>164</v>
      </c>
      <c r="Y65" s="25">
        <v>35</v>
      </c>
      <c r="AA65">
        <f t="shared" si="0"/>
        <v>45</v>
      </c>
      <c r="AB65" s="279">
        <v>44624</v>
      </c>
      <c r="AC65" s="6">
        <v>1</v>
      </c>
      <c r="AD65">
        <f t="shared" si="1"/>
        <v>45</v>
      </c>
    </row>
    <row r="66" spans="20:30" x14ac:dyDescent="0.25">
      <c r="T66" t="str">
        <f t="shared" si="2"/>
        <v/>
      </c>
      <c r="V66" s="25" t="s">
        <v>284</v>
      </c>
      <c r="W66" s="25" t="s">
        <v>153</v>
      </c>
      <c r="X66" s="25" t="s">
        <v>164</v>
      </c>
      <c r="Y66" s="25">
        <v>40</v>
      </c>
      <c r="AA66">
        <f t="shared" si="0"/>
        <v>45</v>
      </c>
      <c r="AB66" s="279">
        <v>44625</v>
      </c>
      <c r="AC66" s="6">
        <v>0</v>
      </c>
      <c r="AD66">
        <f t="shared" si="1"/>
        <v>45</v>
      </c>
    </row>
    <row r="67" spans="20:30" x14ac:dyDescent="0.25">
      <c r="T67" t="str">
        <f t="shared" si="2"/>
        <v/>
      </c>
      <c r="V67" s="25" t="s">
        <v>285</v>
      </c>
      <c r="W67" s="25" t="s">
        <v>154</v>
      </c>
      <c r="X67" s="25" t="s">
        <v>238</v>
      </c>
      <c r="Y67" s="25">
        <v>55</v>
      </c>
      <c r="AA67">
        <f t="shared" si="0"/>
        <v>45</v>
      </c>
      <c r="AB67" s="279">
        <v>44626</v>
      </c>
      <c r="AC67" s="6">
        <v>0</v>
      </c>
      <c r="AD67">
        <f t="shared" si="1"/>
        <v>45</v>
      </c>
    </row>
    <row r="68" spans="20:30" x14ac:dyDescent="0.25">
      <c r="T68" t="str">
        <f t="shared" si="2"/>
        <v/>
      </c>
      <c r="V68" s="25" t="s">
        <v>286</v>
      </c>
      <c r="W68" s="25" t="s">
        <v>153</v>
      </c>
      <c r="X68" s="25" t="s">
        <v>164</v>
      </c>
      <c r="Y68" s="25">
        <v>45</v>
      </c>
      <c r="AA68">
        <f t="shared" ref="AA68:AA131" si="3">AA67+AC68</f>
        <v>46</v>
      </c>
      <c r="AB68" s="279">
        <v>44627</v>
      </c>
      <c r="AC68" s="6">
        <v>1</v>
      </c>
      <c r="AD68">
        <f t="shared" si="1"/>
        <v>46</v>
      </c>
    </row>
    <row r="69" spans="20:30" x14ac:dyDescent="0.25">
      <c r="T69" t="str">
        <f t="shared" ref="T69:T132" si="4">RIGHT(S69,3)</f>
        <v/>
      </c>
      <c r="V69" s="25" t="s">
        <v>287</v>
      </c>
      <c r="W69" s="25" t="s">
        <v>154</v>
      </c>
      <c r="X69" s="25" t="s">
        <v>238</v>
      </c>
      <c r="Y69" s="25">
        <v>45</v>
      </c>
      <c r="AA69">
        <f t="shared" si="3"/>
        <v>47</v>
      </c>
      <c r="AB69" s="279">
        <v>44628</v>
      </c>
      <c r="AC69" s="6">
        <v>1</v>
      </c>
      <c r="AD69">
        <f t="shared" ref="AD69:AD132" si="5">AA68+AC69</f>
        <v>47</v>
      </c>
    </row>
    <row r="70" spans="20:30" x14ac:dyDescent="0.25">
      <c r="T70" t="str">
        <f t="shared" si="4"/>
        <v/>
      </c>
      <c r="V70" s="25" t="s">
        <v>288</v>
      </c>
      <c r="W70" s="25" t="s">
        <v>153</v>
      </c>
      <c r="X70" s="25" t="s">
        <v>164</v>
      </c>
      <c r="Y70" s="25">
        <v>50</v>
      </c>
      <c r="AA70">
        <f t="shared" si="3"/>
        <v>48</v>
      </c>
      <c r="AB70" s="279">
        <v>44629</v>
      </c>
      <c r="AC70" s="6">
        <v>1</v>
      </c>
      <c r="AD70">
        <f t="shared" si="5"/>
        <v>48</v>
      </c>
    </row>
    <row r="71" spans="20:30" x14ac:dyDescent="0.25">
      <c r="T71" t="str">
        <f t="shared" si="4"/>
        <v/>
      </c>
      <c r="V71" s="25" t="s">
        <v>180</v>
      </c>
      <c r="W71" s="25" t="s">
        <v>154</v>
      </c>
      <c r="X71" s="25" t="s">
        <v>238</v>
      </c>
      <c r="Y71" s="25">
        <v>50</v>
      </c>
      <c r="AA71">
        <f t="shared" si="3"/>
        <v>49</v>
      </c>
      <c r="AB71" s="279">
        <v>44630</v>
      </c>
      <c r="AC71" s="6">
        <v>1</v>
      </c>
      <c r="AD71">
        <f t="shared" si="5"/>
        <v>49</v>
      </c>
    </row>
    <row r="72" spans="20:30" x14ac:dyDescent="0.25">
      <c r="T72" t="str">
        <f t="shared" si="4"/>
        <v/>
      </c>
      <c r="V72" s="25" t="s">
        <v>289</v>
      </c>
      <c r="W72" s="25" t="s">
        <v>153</v>
      </c>
      <c r="X72" s="25" t="s">
        <v>164</v>
      </c>
      <c r="Y72" s="25">
        <v>40</v>
      </c>
      <c r="AA72">
        <f t="shared" si="3"/>
        <v>50</v>
      </c>
      <c r="AB72" s="279">
        <v>44631</v>
      </c>
      <c r="AC72" s="6">
        <v>1</v>
      </c>
      <c r="AD72">
        <f t="shared" si="5"/>
        <v>50</v>
      </c>
    </row>
    <row r="73" spans="20:30" x14ac:dyDescent="0.25">
      <c r="T73" t="str">
        <f t="shared" si="4"/>
        <v/>
      </c>
      <c r="V73" s="25" t="s">
        <v>381</v>
      </c>
      <c r="W73" s="25" t="s">
        <v>154</v>
      </c>
      <c r="X73" s="25" t="s">
        <v>238</v>
      </c>
      <c r="Y73" s="25">
        <v>55</v>
      </c>
      <c r="AA73">
        <f t="shared" si="3"/>
        <v>50</v>
      </c>
      <c r="AB73" s="279">
        <v>44632</v>
      </c>
      <c r="AC73" s="6">
        <v>0</v>
      </c>
      <c r="AD73">
        <f t="shared" si="5"/>
        <v>50</v>
      </c>
    </row>
    <row r="74" spans="20:30" x14ac:dyDescent="0.25">
      <c r="T74" t="str">
        <f t="shared" si="4"/>
        <v/>
      </c>
      <c r="V74" s="25" t="s">
        <v>290</v>
      </c>
      <c r="W74" s="25" t="s">
        <v>154</v>
      </c>
      <c r="X74" s="25" t="s">
        <v>238</v>
      </c>
      <c r="Y74" s="25">
        <v>50</v>
      </c>
      <c r="AA74">
        <f t="shared" si="3"/>
        <v>50</v>
      </c>
      <c r="AB74" s="279">
        <v>44633</v>
      </c>
      <c r="AC74" s="6">
        <v>0</v>
      </c>
      <c r="AD74">
        <f t="shared" si="5"/>
        <v>50</v>
      </c>
    </row>
    <row r="75" spans="20:30" x14ac:dyDescent="0.25">
      <c r="T75" t="str">
        <f t="shared" si="4"/>
        <v/>
      </c>
      <c r="V75" s="25" t="s">
        <v>291</v>
      </c>
      <c r="W75" s="25" t="s">
        <v>153</v>
      </c>
      <c r="X75" s="25" t="s">
        <v>164</v>
      </c>
      <c r="Y75" s="25">
        <v>45</v>
      </c>
      <c r="AA75">
        <f t="shared" si="3"/>
        <v>51</v>
      </c>
      <c r="AB75" s="279">
        <v>44634</v>
      </c>
      <c r="AC75" s="6">
        <v>1</v>
      </c>
      <c r="AD75">
        <f t="shared" si="5"/>
        <v>51</v>
      </c>
    </row>
    <row r="76" spans="20:30" x14ac:dyDescent="0.25">
      <c r="T76" t="str">
        <f t="shared" si="4"/>
        <v/>
      </c>
      <c r="V76" s="25" t="s">
        <v>292</v>
      </c>
      <c r="W76" s="25" t="s">
        <v>153</v>
      </c>
      <c r="X76" s="25" t="s">
        <v>164</v>
      </c>
      <c r="Y76" s="25">
        <v>45</v>
      </c>
      <c r="AA76">
        <f t="shared" si="3"/>
        <v>52</v>
      </c>
      <c r="AB76" s="279">
        <v>44635</v>
      </c>
      <c r="AC76" s="6">
        <v>1</v>
      </c>
      <c r="AD76">
        <f t="shared" si="5"/>
        <v>52</v>
      </c>
    </row>
    <row r="77" spans="20:30" x14ac:dyDescent="0.25">
      <c r="T77" t="str">
        <f t="shared" si="4"/>
        <v/>
      </c>
      <c r="V77" s="25" t="s">
        <v>293</v>
      </c>
      <c r="W77" s="25" t="s">
        <v>154</v>
      </c>
      <c r="X77" s="25" t="s">
        <v>238</v>
      </c>
      <c r="Y77" s="25">
        <v>45</v>
      </c>
      <c r="AA77">
        <f t="shared" si="3"/>
        <v>53</v>
      </c>
      <c r="AB77" s="279">
        <v>44636</v>
      </c>
      <c r="AC77" s="6">
        <v>1</v>
      </c>
      <c r="AD77">
        <f t="shared" si="5"/>
        <v>53</v>
      </c>
    </row>
    <row r="78" spans="20:30" x14ac:dyDescent="0.25">
      <c r="T78" t="str">
        <f t="shared" si="4"/>
        <v/>
      </c>
      <c r="V78" s="25" t="s">
        <v>294</v>
      </c>
      <c r="W78" s="25" t="s">
        <v>154</v>
      </c>
      <c r="X78" s="25" t="s">
        <v>238</v>
      </c>
      <c r="Y78" s="25">
        <v>55</v>
      </c>
      <c r="AA78">
        <f t="shared" si="3"/>
        <v>54</v>
      </c>
      <c r="AB78" s="279">
        <v>44637</v>
      </c>
      <c r="AC78" s="6">
        <v>1</v>
      </c>
      <c r="AD78">
        <f t="shared" si="5"/>
        <v>54</v>
      </c>
    </row>
    <row r="79" spans="20:30" x14ac:dyDescent="0.25">
      <c r="T79" t="str">
        <f t="shared" si="4"/>
        <v/>
      </c>
      <c r="V79" s="25" t="s">
        <v>295</v>
      </c>
      <c r="W79" s="25" t="s">
        <v>154</v>
      </c>
      <c r="X79" s="25" t="s">
        <v>238</v>
      </c>
      <c r="Y79" s="25">
        <v>60</v>
      </c>
      <c r="AA79">
        <f t="shared" si="3"/>
        <v>55</v>
      </c>
      <c r="AB79" s="279">
        <v>44638</v>
      </c>
      <c r="AC79" s="6">
        <v>1</v>
      </c>
      <c r="AD79">
        <f t="shared" si="5"/>
        <v>55</v>
      </c>
    </row>
    <row r="80" spans="20:30" x14ac:dyDescent="0.25">
      <c r="T80" t="str">
        <f t="shared" si="4"/>
        <v/>
      </c>
      <c r="V80" s="25" t="s">
        <v>296</v>
      </c>
      <c r="W80" s="25" t="s">
        <v>154</v>
      </c>
      <c r="X80" s="25" t="s">
        <v>238</v>
      </c>
      <c r="Y80" s="25">
        <v>65</v>
      </c>
      <c r="AA80">
        <f t="shared" si="3"/>
        <v>55</v>
      </c>
      <c r="AB80" s="279">
        <v>44639</v>
      </c>
      <c r="AC80" s="6">
        <v>0</v>
      </c>
      <c r="AD80">
        <f t="shared" si="5"/>
        <v>55</v>
      </c>
    </row>
    <row r="81" spans="20:30" x14ac:dyDescent="0.25">
      <c r="T81" t="str">
        <f t="shared" si="4"/>
        <v/>
      </c>
      <c r="V81" s="25" t="s">
        <v>297</v>
      </c>
      <c r="W81" s="25" t="s">
        <v>153</v>
      </c>
      <c r="X81" s="25" t="s">
        <v>164</v>
      </c>
      <c r="Y81" s="25">
        <v>45</v>
      </c>
      <c r="AA81">
        <f t="shared" si="3"/>
        <v>55</v>
      </c>
      <c r="AB81" s="279">
        <v>44640</v>
      </c>
      <c r="AC81" s="6">
        <v>0</v>
      </c>
      <c r="AD81">
        <f t="shared" si="5"/>
        <v>55</v>
      </c>
    </row>
    <row r="82" spans="20:30" x14ac:dyDescent="0.25">
      <c r="T82" t="str">
        <f t="shared" si="4"/>
        <v/>
      </c>
      <c r="V82" s="25" t="s">
        <v>182</v>
      </c>
      <c r="W82" s="25" t="s">
        <v>153</v>
      </c>
      <c r="X82" s="25" t="s">
        <v>164</v>
      </c>
      <c r="Y82" s="25">
        <v>50</v>
      </c>
      <c r="AA82">
        <f t="shared" si="3"/>
        <v>56</v>
      </c>
      <c r="AB82" s="279">
        <v>44641</v>
      </c>
      <c r="AC82" s="6">
        <v>1</v>
      </c>
      <c r="AD82">
        <f t="shared" si="5"/>
        <v>56</v>
      </c>
    </row>
    <row r="83" spans="20:30" x14ac:dyDescent="0.25">
      <c r="T83" t="str">
        <f t="shared" si="4"/>
        <v/>
      </c>
      <c r="V83" s="25" t="s">
        <v>298</v>
      </c>
      <c r="W83" s="25" t="s">
        <v>153</v>
      </c>
      <c r="X83" s="25" t="s">
        <v>164</v>
      </c>
      <c r="Y83" s="25">
        <v>45</v>
      </c>
      <c r="AA83">
        <f t="shared" si="3"/>
        <v>57</v>
      </c>
      <c r="AB83" s="279">
        <v>44642</v>
      </c>
      <c r="AC83" s="6">
        <v>1</v>
      </c>
      <c r="AD83">
        <f t="shared" si="5"/>
        <v>57</v>
      </c>
    </row>
    <row r="84" spans="20:30" x14ac:dyDescent="0.25">
      <c r="T84" t="str">
        <f t="shared" si="4"/>
        <v/>
      </c>
      <c r="V84" s="25" t="s">
        <v>299</v>
      </c>
      <c r="W84" s="25" t="s">
        <v>154</v>
      </c>
      <c r="X84" s="25" t="s">
        <v>238</v>
      </c>
      <c r="Y84" s="25">
        <v>50</v>
      </c>
      <c r="AA84">
        <f t="shared" si="3"/>
        <v>58</v>
      </c>
      <c r="AB84" s="279">
        <v>44643</v>
      </c>
      <c r="AC84" s="6">
        <v>1</v>
      </c>
      <c r="AD84">
        <f t="shared" si="5"/>
        <v>58</v>
      </c>
    </row>
    <row r="85" spans="20:30" x14ac:dyDescent="0.25">
      <c r="T85" t="str">
        <f t="shared" si="4"/>
        <v/>
      </c>
      <c r="V85" s="25" t="s">
        <v>300</v>
      </c>
      <c r="W85" s="25" t="s">
        <v>153</v>
      </c>
      <c r="X85" s="25" t="s">
        <v>164</v>
      </c>
      <c r="Y85" s="25">
        <v>55</v>
      </c>
      <c r="AA85">
        <f t="shared" si="3"/>
        <v>59</v>
      </c>
      <c r="AB85" s="279">
        <v>44644</v>
      </c>
      <c r="AC85" s="6">
        <v>1</v>
      </c>
      <c r="AD85">
        <f t="shared" si="5"/>
        <v>59</v>
      </c>
    </row>
    <row r="86" spans="20:30" x14ac:dyDescent="0.25">
      <c r="T86" t="str">
        <f t="shared" si="4"/>
        <v/>
      </c>
      <c r="V86" s="25" t="s">
        <v>301</v>
      </c>
      <c r="W86" s="25" t="s">
        <v>153</v>
      </c>
      <c r="X86" s="25" t="s">
        <v>164</v>
      </c>
      <c r="Y86" s="25">
        <v>40</v>
      </c>
      <c r="AA86">
        <f t="shared" si="3"/>
        <v>60</v>
      </c>
      <c r="AB86" s="279">
        <v>44645</v>
      </c>
      <c r="AC86" s="6">
        <v>1</v>
      </c>
      <c r="AD86">
        <f t="shared" si="5"/>
        <v>60</v>
      </c>
    </row>
    <row r="87" spans="20:30" x14ac:dyDescent="0.25">
      <c r="T87" t="str">
        <f t="shared" si="4"/>
        <v/>
      </c>
      <c r="V87" s="25" t="s">
        <v>302</v>
      </c>
      <c r="W87" s="25" t="s">
        <v>153</v>
      </c>
      <c r="X87" s="25" t="s">
        <v>164</v>
      </c>
      <c r="Y87" s="25">
        <v>40</v>
      </c>
      <c r="AA87">
        <f t="shared" si="3"/>
        <v>60</v>
      </c>
      <c r="AB87" s="279">
        <v>44646</v>
      </c>
      <c r="AC87" s="6">
        <v>0</v>
      </c>
      <c r="AD87">
        <f t="shared" si="5"/>
        <v>60</v>
      </c>
    </row>
    <row r="88" spans="20:30" x14ac:dyDescent="0.25">
      <c r="T88" t="str">
        <f t="shared" si="4"/>
        <v/>
      </c>
      <c r="V88" s="25" t="s">
        <v>303</v>
      </c>
      <c r="W88" s="25" t="s">
        <v>153</v>
      </c>
      <c r="X88" s="25" t="s">
        <v>164</v>
      </c>
      <c r="Y88" s="25">
        <v>40</v>
      </c>
      <c r="AA88">
        <f t="shared" si="3"/>
        <v>60</v>
      </c>
      <c r="AB88" s="279">
        <v>44647</v>
      </c>
      <c r="AC88" s="6">
        <v>0</v>
      </c>
      <c r="AD88">
        <f t="shared" si="5"/>
        <v>60</v>
      </c>
    </row>
    <row r="89" spans="20:30" x14ac:dyDescent="0.25">
      <c r="T89" t="str">
        <f t="shared" si="4"/>
        <v/>
      </c>
      <c r="V89" s="25" t="s">
        <v>304</v>
      </c>
      <c r="W89" s="25" t="s">
        <v>154</v>
      </c>
      <c r="X89" s="25" t="s">
        <v>238</v>
      </c>
      <c r="Y89" s="25">
        <v>45</v>
      </c>
      <c r="AA89">
        <f t="shared" si="3"/>
        <v>61</v>
      </c>
      <c r="AB89" s="279">
        <v>44648</v>
      </c>
      <c r="AC89" s="6">
        <v>1</v>
      </c>
      <c r="AD89">
        <f t="shared" si="5"/>
        <v>61</v>
      </c>
    </row>
    <row r="90" spans="20:30" x14ac:dyDescent="0.25">
      <c r="T90" t="str">
        <f t="shared" si="4"/>
        <v/>
      </c>
      <c r="V90" s="25" t="s">
        <v>305</v>
      </c>
      <c r="W90" s="25" t="s">
        <v>154</v>
      </c>
      <c r="X90" s="25" t="s">
        <v>238</v>
      </c>
      <c r="Y90" s="25">
        <v>50</v>
      </c>
      <c r="AA90">
        <f t="shared" si="3"/>
        <v>62</v>
      </c>
      <c r="AB90" s="279">
        <v>44649</v>
      </c>
      <c r="AC90" s="6">
        <v>1</v>
      </c>
      <c r="AD90">
        <f t="shared" si="5"/>
        <v>62</v>
      </c>
    </row>
    <row r="91" spans="20:30" x14ac:dyDescent="0.25">
      <c r="T91" t="str">
        <f t="shared" si="4"/>
        <v/>
      </c>
      <c r="V91" s="25" t="s">
        <v>306</v>
      </c>
      <c r="W91" s="25" t="s">
        <v>154</v>
      </c>
      <c r="X91" s="25" t="s">
        <v>238</v>
      </c>
      <c r="Y91" s="25">
        <v>55</v>
      </c>
      <c r="AA91">
        <f t="shared" si="3"/>
        <v>63</v>
      </c>
      <c r="AB91" s="279">
        <v>44650</v>
      </c>
      <c r="AC91" s="6">
        <v>1</v>
      </c>
      <c r="AD91">
        <f t="shared" si="5"/>
        <v>63</v>
      </c>
    </row>
    <row r="92" spans="20:30" x14ac:dyDescent="0.25">
      <c r="T92" t="str">
        <f t="shared" si="4"/>
        <v/>
      </c>
      <c r="V92" s="25" t="s">
        <v>307</v>
      </c>
      <c r="W92" s="25" t="s">
        <v>153</v>
      </c>
      <c r="X92" s="25" t="s">
        <v>164</v>
      </c>
      <c r="Y92" s="25">
        <v>45</v>
      </c>
      <c r="AA92">
        <f t="shared" si="3"/>
        <v>64</v>
      </c>
      <c r="AB92" s="279">
        <v>44651</v>
      </c>
      <c r="AC92" s="6">
        <v>1</v>
      </c>
      <c r="AD92">
        <f t="shared" si="5"/>
        <v>64</v>
      </c>
    </row>
    <row r="93" spans="20:30" x14ac:dyDescent="0.25">
      <c r="T93" t="str">
        <f t="shared" si="4"/>
        <v/>
      </c>
      <c r="V93" s="25" t="s">
        <v>308</v>
      </c>
      <c r="W93" s="25" t="s">
        <v>153</v>
      </c>
      <c r="X93" s="25" t="s">
        <v>164</v>
      </c>
      <c r="Y93" s="25">
        <v>45</v>
      </c>
      <c r="AA93">
        <f t="shared" si="3"/>
        <v>65</v>
      </c>
      <c r="AB93" s="279">
        <v>44652</v>
      </c>
      <c r="AC93" s="6">
        <v>1</v>
      </c>
      <c r="AD93">
        <f t="shared" si="5"/>
        <v>65</v>
      </c>
    </row>
    <row r="94" spans="20:30" x14ac:dyDescent="0.25">
      <c r="T94" t="str">
        <f t="shared" si="4"/>
        <v/>
      </c>
      <c r="V94" s="25" t="s">
        <v>309</v>
      </c>
      <c r="W94" s="25" t="s">
        <v>206</v>
      </c>
      <c r="X94" s="25" t="s">
        <v>310</v>
      </c>
      <c r="Y94" s="257">
        <v>65</v>
      </c>
      <c r="AA94">
        <f t="shared" si="3"/>
        <v>65</v>
      </c>
      <c r="AB94" s="279">
        <v>44653</v>
      </c>
      <c r="AC94" s="6">
        <v>0</v>
      </c>
      <c r="AD94">
        <f t="shared" si="5"/>
        <v>65</v>
      </c>
    </row>
    <row r="95" spans="20:30" x14ac:dyDescent="0.25">
      <c r="T95" t="str">
        <f t="shared" si="4"/>
        <v/>
      </c>
      <c r="V95" s="25" t="s">
        <v>311</v>
      </c>
      <c r="W95" s="25" t="s">
        <v>153</v>
      </c>
      <c r="X95" s="25" t="s">
        <v>164</v>
      </c>
      <c r="Y95" s="25">
        <v>40</v>
      </c>
      <c r="AA95">
        <f t="shared" si="3"/>
        <v>65</v>
      </c>
      <c r="AB95" s="279">
        <v>44654</v>
      </c>
      <c r="AC95" s="6">
        <v>0</v>
      </c>
      <c r="AD95">
        <f t="shared" si="5"/>
        <v>65</v>
      </c>
    </row>
    <row r="96" spans="20:30" x14ac:dyDescent="0.25">
      <c r="T96" t="str">
        <f t="shared" si="4"/>
        <v/>
      </c>
      <c r="V96" s="25" t="s">
        <v>312</v>
      </c>
      <c r="W96" s="25" t="s">
        <v>153</v>
      </c>
      <c r="X96" s="25" t="s">
        <v>164</v>
      </c>
      <c r="Y96" s="25">
        <v>40</v>
      </c>
      <c r="AA96">
        <f t="shared" si="3"/>
        <v>66</v>
      </c>
      <c r="AB96" s="279">
        <v>44655</v>
      </c>
      <c r="AC96" s="6">
        <v>1</v>
      </c>
      <c r="AD96">
        <f t="shared" si="5"/>
        <v>66</v>
      </c>
    </row>
    <row r="97" spans="20:30" x14ac:dyDescent="0.25">
      <c r="T97" t="str">
        <f t="shared" si="4"/>
        <v/>
      </c>
      <c r="V97" s="25" t="s">
        <v>313</v>
      </c>
      <c r="W97" s="25" t="s">
        <v>153</v>
      </c>
      <c r="X97" s="25" t="s">
        <v>164</v>
      </c>
      <c r="Y97" s="25">
        <v>50</v>
      </c>
      <c r="AA97">
        <f t="shared" si="3"/>
        <v>67</v>
      </c>
      <c r="AB97" s="279">
        <v>44656</v>
      </c>
      <c r="AC97" s="6">
        <v>1</v>
      </c>
      <c r="AD97">
        <f t="shared" si="5"/>
        <v>67</v>
      </c>
    </row>
    <row r="98" spans="20:30" x14ac:dyDescent="0.25">
      <c r="T98" t="str">
        <f t="shared" si="4"/>
        <v/>
      </c>
      <c r="V98" s="25" t="s">
        <v>314</v>
      </c>
      <c r="W98" s="25" t="s">
        <v>153</v>
      </c>
      <c r="X98" s="25" t="s">
        <v>164</v>
      </c>
      <c r="Y98" s="25">
        <v>45</v>
      </c>
      <c r="AA98">
        <f t="shared" si="3"/>
        <v>68</v>
      </c>
      <c r="AB98" s="279">
        <v>44657</v>
      </c>
      <c r="AC98" s="6">
        <v>1</v>
      </c>
      <c r="AD98">
        <f t="shared" si="5"/>
        <v>68</v>
      </c>
    </row>
    <row r="99" spans="20:30" x14ac:dyDescent="0.25">
      <c r="T99" t="str">
        <f t="shared" si="4"/>
        <v/>
      </c>
      <c r="V99" s="25" t="s">
        <v>315</v>
      </c>
      <c r="W99" s="25" t="s">
        <v>153</v>
      </c>
      <c r="X99" s="25" t="s">
        <v>164</v>
      </c>
      <c r="Y99" s="25">
        <v>40</v>
      </c>
      <c r="AA99">
        <f t="shared" si="3"/>
        <v>69</v>
      </c>
      <c r="AB99" s="279">
        <v>44658</v>
      </c>
      <c r="AC99" s="6">
        <v>1</v>
      </c>
      <c r="AD99">
        <f t="shared" si="5"/>
        <v>69</v>
      </c>
    </row>
    <row r="100" spans="20:30" x14ac:dyDescent="0.25">
      <c r="T100" t="str">
        <f t="shared" si="4"/>
        <v/>
      </c>
      <c r="V100" s="25" t="s">
        <v>184</v>
      </c>
      <c r="W100" s="25" t="s">
        <v>153</v>
      </c>
      <c r="X100" s="25" t="s">
        <v>164</v>
      </c>
      <c r="Y100" s="257">
        <v>40</v>
      </c>
      <c r="AA100">
        <f t="shared" si="3"/>
        <v>70</v>
      </c>
      <c r="AB100" s="279">
        <v>44659</v>
      </c>
      <c r="AC100" s="6">
        <v>1</v>
      </c>
      <c r="AD100">
        <f t="shared" si="5"/>
        <v>70</v>
      </c>
    </row>
    <row r="101" spans="20:30" x14ac:dyDescent="0.25">
      <c r="T101" t="str">
        <f t="shared" si="4"/>
        <v/>
      </c>
      <c r="V101" s="25" t="s">
        <v>186</v>
      </c>
      <c r="W101" s="25" t="s">
        <v>154</v>
      </c>
      <c r="X101" s="25" t="s">
        <v>238</v>
      </c>
      <c r="Y101" s="25">
        <v>45</v>
      </c>
      <c r="AA101">
        <f t="shared" si="3"/>
        <v>70</v>
      </c>
      <c r="AB101" s="279">
        <v>44660</v>
      </c>
      <c r="AC101" s="6">
        <v>0</v>
      </c>
      <c r="AD101">
        <f t="shared" si="5"/>
        <v>70</v>
      </c>
    </row>
    <row r="102" spans="20:30" x14ac:dyDescent="0.25">
      <c r="T102" t="str">
        <f t="shared" si="4"/>
        <v/>
      </c>
      <c r="V102" s="25" t="s">
        <v>316</v>
      </c>
      <c r="W102" s="25" t="s">
        <v>154</v>
      </c>
      <c r="X102" s="25" t="s">
        <v>238</v>
      </c>
      <c r="Y102" s="25">
        <v>45</v>
      </c>
      <c r="AA102">
        <f t="shared" si="3"/>
        <v>70</v>
      </c>
      <c r="AB102" s="279">
        <v>44661</v>
      </c>
      <c r="AC102" s="6">
        <v>0</v>
      </c>
      <c r="AD102">
        <f t="shared" si="5"/>
        <v>70</v>
      </c>
    </row>
    <row r="103" spans="20:30" x14ac:dyDescent="0.25">
      <c r="T103" t="str">
        <f t="shared" si="4"/>
        <v/>
      </c>
      <c r="V103" s="25" t="s">
        <v>317</v>
      </c>
      <c r="W103" s="25" t="s">
        <v>154</v>
      </c>
      <c r="X103" s="25" t="s">
        <v>238</v>
      </c>
      <c r="Y103" s="25">
        <v>55</v>
      </c>
      <c r="AA103">
        <f t="shared" si="3"/>
        <v>71</v>
      </c>
      <c r="AB103" s="279">
        <v>44662</v>
      </c>
      <c r="AC103" s="6">
        <v>1</v>
      </c>
      <c r="AD103">
        <f t="shared" si="5"/>
        <v>71</v>
      </c>
    </row>
    <row r="104" spans="20:30" x14ac:dyDescent="0.25">
      <c r="T104" t="str">
        <f t="shared" si="4"/>
        <v/>
      </c>
      <c r="V104" s="25" t="s">
        <v>318</v>
      </c>
      <c r="W104" s="25" t="s">
        <v>153</v>
      </c>
      <c r="X104" s="25" t="s">
        <v>164</v>
      </c>
      <c r="Y104" s="25">
        <v>45</v>
      </c>
      <c r="AA104">
        <f t="shared" si="3"/>
        <v>72</v>
      </c>
      <c r="AB104" s="279">
        <v>44663</v>
      </c>
      <c r="AC104" s="6">
        <v>1</v>
      </c>
      <c r="AD104">
        <f t="shared" si="5"/>
        <v>72</v>
      </c>
    </row>
    <row r="105" spans="20:30" x14ac:dyDescent="0.25">
      <c r="T105" t="str">
        <f t="shared" si="4"/>
        <v/>
      </c>
      <c r="V105" s="25" t="s">
        <v>319</v>
      </c>
      <c r="W105" s="25" t="s">
        <v>153</v>
      </c>
      <c r="X105" s="25" t="s">
        <v>164</v>
      </c>
      <c r="Y105" s="25">
        <v>50</v>
      </c>
      <c r="AA105">
        <f t="shared" si="3"/>
        <v>73</v>
      </c>
      <c r="AB105" s="279">
        <v>44664</v>
      </c>
      <c r="AC105" s="6">
        <v>1</v>
      </c>
      <c r="AD105">
        <f t="shared" si="5"/>
        <v>73</v>
      </c>
    </row>
    <row r="106" spans="20:30" x14ac:dyDescent="0.25">
      <c r="T106" t="str">
        <f t="shared" si="4"/>
        <v/>
      </c>
      <c r="V106" s="25" t="s">
        <v>320</v>
      </c>
      <c r="W106" s="25" t="s">
        <v>153</v>
      </c>
      <c r="X106" s="25" t="s">
        <v>164</v>
      </c>
      <c r="Y106" s="25">
        <v>40</v>
      </c>
      <c r="AA106">
        <f t="shared" si="3"/>
        <v>74</v>
      </c>
      <c r="AB106" s="279">
        <v>44665</v>
      </c>
      <c r="AC106" s="6">
        <v>1</v>
      </c>
      <c r="AD106">
        <f t="shared" si="5"/>
        <v>74</v>
      </c>
    </row>
    <row r="107" spans="20:30" x14ac:dyDescent="0.25">
      <c r="T107" t="str">
        <f t="shared" si="4"/>
        <v/>
      </c>
      <c r="V107" s="25" t="s">
        <v>321</v>
      </c>
      <c r="W107" s="25" t="s">
        <v>153</v>
      </c>
      <c r="X107" s="25" t="s">
        <v>164</v>
      </c>
      <c r="Y107" s="25">
        <v>40</v>
      </c>
      <c r="AA107">
        <f t="shared" si="3"/>
        <v>74</v>
      </c>
      <c r="AB107" s="279">
        <v>44666</v>
      </c>
      <c r="AC107" s="6">
        <v>0</v>
      </c>
      <c r="AD107">
        <f t="shared" si="5"/>
        <v>74</v>
      </c>
    </row>
    <row r="108" spans="20:30" x14ac:dyDescent="0.25">
      <c r="T108" t="str">
        <f t="shared" si="4"/>
        <v/>
      </c>
      <c r="V108" s="25" t="s">
        <v>322</v>
      </c>
      <c r="W108" s="25" t="s">
        <v>154</v>
      </c>
      <c r="X108" s="25" t="s">
        <v>238</v>
      </c>
      <c r="Y108" s="25">
        <v>55</v>
      </c>
      <c r="AA108">
        <f t="shared" si="3"/>
        <v>74</v>
      </c>
      <c r="AB108" s="279">
        <v>44667</v>
      </c>
      <c r="AC108" s="6">
        <v>0</v>
      </c>
      <c r="AD108">
        <f t="shared" si="5"/>
        <v>74</v>
      </c>
    </row>
    <row r="109" spans="20:30" x14ac:dyDescent="0.25">
      <c r="T109" t="str">
        <f t="shared" si="4"/>
        <v/>
      </c>
      <c r="V109" s="25" t="s">
        <v>188</v>
      </c>
      <c r="W109" s="25" t="s">
        <v>154</v>
      </c>
      <c r="X109" s="25" t="s">
        <v>238</v>
      </c>
      <c r="Y109" s="25">
        <v>50</v>
      </c>
      <c r="AA109">
        <f t="shared" si="3"/>
        <v>74</v>
      </c>
      <c r="AB109" s="279">
        <v>44668</v>
      </c>
      <c r="AC109" s="6">
        <v>0</v>
      </c>
      <c r="AD109">
        <f t="shared" si="5"/>
        <v>74</v>
      </c>
    </row>
    <row r="110" spans="20:30" x14ac:dyDescent="0.25">
      <c r="T110" t="str">
        <f t="shared" si="4"/>
        <v/>
      </c>
      <c r="V110" s="25" t="s">
        <v>323</v>
      </c>
      <c r="W110" s="25" t="s">
        <v>153</v>
      </c>
      <c r="X110" s="25" t="s">
        <v>164</v>
      </c>
      <c r="Y110" s="25">
        <v>40</v>
      </c>
      <c r="AA110">
        <f t="shared" si="3"/>
        <v>74</v>
      </c>
      <c r="AB110" s="279">
        <v>44669</v>
      </c>
      <c r="AC110" s="6">
        <v>0</v>
      </c>
      <c r="AD110">
        <f t="shared" si="5"/>
        <v>74</v>
      </c>
    </row>
    <row r="111" spans="20:30" x14ac:dyDescent="0.25">
      <c r="T111" t="str">
        <f t="shared" si="4"/>
        <v/>
      </c>
      <c r="V111" s="25" t="s">
        <v>324</v>
      </c>
      <c r="W111" s="25" t="s">
        <v>153</v>
      </c>
      <c r="X111" s="25" t="s">
        <v>164</v>
      </c>
      <c r="Y111" s="25">
        <v>45</v>
      </c>
      <c r="AA111">
        <f t="shared" si="3"/>
        <v>75</v>
      </c>
      <c r="AB111" s="279">
        <v>44670</v>
      </c>
      <c r="AC111" s="6">
        <v>1</v>
      </c>
      <c r="AD111">
        <f t="shared" si="5"/>
        <v>75</v>
      </c>
    </row>
    <row r="112" spans="20:30" x14ac:dyDescent="0.25">
      <c r="T112" t="str">
        <f t="shared" si="4"/>
        <v/>
      </c>
      <c r="V112" s="25" t="s">
        <v>325</v>
      </c>
      <c r="W112" s="25" t="s">
        <v>153</v>
      </c>
      <c r="X112" s="25" t="s">
        <v>164</v>
      </c>
      <c r="Y112" s="25">
        <v>40</v>
      </c>
      <c r="AA112">
        <f t="shared" si="3"/>
        <v>76</v>
      </c>
      <c r="AB112" s="279">
        <v>44671</v>
      </c>
      <c r="AC112" s="6">
        <v>1</v>
      </c>
      <c r="AD112">
        <f t="shared" si="5"/>
        <v>76</v>
      </c>
    </row>
    <row r="113" spans="20:30" x14ac:dyDescent="0.25">
      <c r="T113" t="str">
        <f t="shared" si="4"/>
        <v/>
      </c>
      <c r="V113" s="25" t="s">
        <v>475</v>
      </c>
      <c r="W113" s="25" t="s">
        <v>154</v>
      </c>
      <c r="X113" s="25" t="s">
        <v>238</v>
      </c>
      <c r="Y113" s="25">
        <v>50</v>
      </c>
      <c r="AA113">
        <f t="shared" si="3"/>
        <v>77</v>
      </c>
      <c r="AB113" s="279">
        <v>44672</v>
      </c>
      <c r="AC113" s="6">
        <v>1</v>
      </c>
      <c r="AD113">
        <f t="shared" si="5"/>
        <v>77</v>
      </c>
    </row>
    <row r="114" spans="20:30" x14ac:dyDescent="0.25">
      <c r="T114" t="str">
        <f t="shared" si="4"/>
        <v/>
      </c>
      <c r="V114" s="25" t="s">
        <v>326</v>
      </c>
      <c r="W114" s="25" t="s">
        <v>154</v>
      </c>
      <c r="X114" s="25" t="s">
        <v>238</v>
      </c>
      <c r="Y114" s="25">
        <v>50</v>
      </c>
      <c r="AA114">
        <f t="shared" si="3"/>
        <v>78</v>
      </c>
      <c r="AB114" s="279">
        <v>44673</v>
      </c>
      <c r="AC114" s="6">
        <v>1</v>
      </c>
      <c r="AD114">
        <f t="shared" si="5"/>
        <v>78</v>
      </c>
    </row>
    <row r="115" spans="20:30" x14ac:dyDescent="0.25">
      <c r="T115" t="str">
        <f t="shared" si="4"/>
        <v/>
      </c>
      <c r="V115" s="25" t="s">
        <v>327</v>
      </c>
      <c r="W115" s="25" t="s">
        <v>154</v>
      </c>
      <c r="X115" s="25" t="s">
        <v>238</v>
      </c>
      <c r="Y115" s="25">
        <v>50</v>
      </c>
      <c r="AA115">
        <f t="shared" si="3"/>
        <v>78</v>
      </c>
      <c r="AB115" s="279">
        <v>44674</v>
      </c>
      <c r="AC115" s="6">
        <v>0</v>
      </c>
      <c r="AD115">
        <f t="shared" si="5"/>
        <v>78</v>
      </c>
    </row>
    <row r="116" spans="20:30" x14ac:dyDescent="0.25">
      <c r="T116" t="str">
        <f t="shared" si="4"/>
        <v/>
      </c>
      <c r="V116" s="25" t="s">
        <v>328</v>
      </c>
      <c r="W116" s="25" t="s">
        <v>153</v>
      </c>
      <c r="X116" s="25" t="s">
        <v>164</v>
      </c>
      <c r="Y116" s="25">
        <v>45</v>
      </c>
      <c r="AA116">
        <f t="shared" si="3"/>
        <v>78</v>
      </c>
      <c r="AB116" s="279">
        <v>44675</v>
      </c>
      <c r="AC116" s="6">
        <v>0</v>
      </c>
      <c r="AD116">
        <f t="shared" si="5"/>
        <v>78</v>
      </c>
    </row>
    <row r="117" spans="20:30" x14ac:dyDescent="0.25">
      <c r="T117" t="str">
        <f t="shared" si="4"/>
        <v/>
      </c>
      <c r="V117" s="25" t="s">
        <v>329</v>
      </c>
      <c r="W117" s="25" t="s">
        <v>154</v>
      </c>
      <c r="X117" s="25" t="s">
        <v>238</v>
      </c>
      <c r="Y117" s="25">
        <v>50</v>
      </c>
      <c r="AA117">
        <f t="shared" si="3"/>
        <v>79</v>
      </c>
      <c r="AB117" s="279">
        <v>44676</v>
      </c>
      <c r="AC117" s="6">
        <v>1</v>
      </c>
      <c r="AD117">
        <f t="shared" si="5"/>
        <v>79</v>
      </c>
    </row>
    <row r="118" spans="20:30" x14ac:dyDescent="0.25">
      <c r="T118" t="str">
        <f t="shared" si="4"/>
        <v/>
      </c>
      <c r="V118" s="25" t="s">
        <v>330</v>
      </c>
      <c r="W118" s="25" t="s">
        <v>153</v>
      </c>
      <c r="X118" s="25" t="s">
        <v>164</v>
      </c>
      <c r="Y118" s="25">
        <v>50</v>
      </c>
      <c r="AA118">
        <f t="shared" si="3"/>
        <v>80</v>
      </c>
      <c r="AB118" s="279">
        <v>44677</v>
      </c>
      <c r="AC118" s="6">
        <v>1</v>
      </c>
      <c r="AD118">
        <f t="shared" si="5"/>
        <v>80</v>
      </c>
    </row>
    <row r="119" spans="20:30" x14ac:dyDescent="0.25">
      <c r="T119" t="str">
        <f t="shared" si="4"/>
        <v/>
      </c>
      <c r="V119" s="25" t="s">
        <v>331</v>
      </c>
      <c r="W119" s="25" t="s">
        <v>153</v>
      </c>
      <c r="X119" s="25" t="s">
        <v>164</v>
      </c>
      <c r="Y119" s="25">
        <v>50</v>
      </c>
      <c r="AA119">
        <f t="shared" si="3"/>
        <v>81</v>
      </c>
      <c r="AB119" s="279">
        <v>44678</v>
      </c>
      <c r="AC119" s="6">
        <v>1</v>
      </c>
      <c r="AD119">
        <f t="shared" si="5"/>
        <v>81</v>
      </c>
    </row>
    <row r="120" spans="20:30" x14ac:dyDescent="0.25">
      <c r="T120" t="str">
        <f t="shared" si="4"/>
        <v/>
      </c>
      <c r="V120" s="25" t="s">
        <v>332</v>
      </c>
      <c r="W120" s="25" t="s">
        <v>154</v>
      </c>
      <c r="X120" s="25" t="s">
        <v>238</v>
      </c>
      <c r="Y120" s="25">
        <v>45</v>
      </c>
      <c r="AA120">
        <f t="shared" si="3"/>
        <v>82</v>
      </c>
      <c r="AB120" s="279">
        <v>44679</v>
      </c>
      <c r="AC120" s="6">
        <v>1</v>
      </c>
      <c r="AD120">
        <f t="shared" si="5"/>
        <v>82</v>
      </c>
    </row>
    <row r="121" spans="20:30" x14ac:dyDescent="0.25">
      <c r="T121" t="str">
        <f t="shared" si="4"/>
        <v/>
      </c>
      <c r="V121" s="25" t="s">
        <v>333</v>
      </c>
      <c r="W121" s="25" t="s">
        <v>153</v>
      </c>
      <c r="X121" s="25" t="s">
        <v>164</v>
      </c>
      <c r="Y121" s="25">
        <v>50</v>
      </c>
      <c r="AA121">
        <f t="shared" si="3"/>
        <v>83</v>
      </c>
      <c r="AB121" s="279">
        <v>44680</v>
      </c>
      <c r="AC121" s="6">
        <v>1</v>
      </c>
      <c r="AD121">
        <f t="shared" si="5"/>
        <v>83</v>
      </c>
    </row>
    <row r="122" spans="20:30" x14ac:dyDescent="0.25">
      <c r="T122" t="str">
        <f t="shared" si="4"/>
        <v/>
      </c>
      <c r="V122" s="25" t="s">
        <v>191</v>
      </c>
      <c r="W122" s="25" t="s">
        <v>153</v>
      </c>
      <c r="X122" s="25" t="s">
        <v>164</v>
      </c>
      <c r="Y122" s="25">
        <v>60</v>
      </c>
      <c r="AA122">
        <f t="shared" si="3"/>
        <v>83</v>
      </c>
      <c r="AB122" s="279">
        <v>44681</v>
      </c>
      <c r="AC122" s="6">
        <v>0</v>
      </c>
      <c r="AD122">
        <f t="shared" si="5"/>
        <v>83</v>
      </c>
    </row>
    <row r="123" spans="20:30" x14ac:dyDescent="0.25">
      <c r="T123" t="str">
        <f t="shared" si="4"/>
        <v/>
      </c>
      <c r="V123" s="25" t="s">
        <v>193</v>
      </c>
      <c r="W123" s="25" t="s">
        <v>154</v>
      </c>
      <c r="X123" s="25" t="s">
        <v>238</v>
      </c>
      <c r="Y123" s="25">
        <v>60</v>
      </c>
      <c r="AA123">
        <f t="shared" si="3"/>
        <v>83</v>
      </c>
      <c r="AB123" s="279">
        <v>44682</v>
      </c>
      <c r="AC123" s="6">
        <v>0</v>
      </c>
      <c r="AD123">
        <f t="shared" si="5"/>
        <v>83</v>
      </c>
    </row>
    <row r="124" spans="20:30" x14ac:dyDescent="0.25">
      <c r="T124" t="str">
        <f t="shared" si="4"/>
        <v/>
      </c>
      <c r="V124" s="25" t="s">
        <v>334</v>
      </c>
      <c r="W124" s="25" t="s">
        <v>153</v>
      </c>
      <c r="X124" s="25" t="s">
        <v>164</v>
      </c>
      <c r="Y124" s="25">
        <v>50</v>
      </c>
      <c r="AA124">
        <f t="shared" si="3"/>
        <v>84</v>
      </c>
      <c r="AB124" s="279">
        <v>44683</v>
      </c>
      <c r="AC124" s="6">
        <v>1</v>
      </c>
      <c r="AD124">
        <f t="shared" si="5"/>
        <v>84</v>
      </c>
    </row>
    <row r="125" spans="20:30" x14ac:dyDescent="0.25">
      <c r="T125" t="str">
        <f t="shared" si="4"/>
        <v/>
      </c>
      <c r="V125" s="25" t="s">
        <v>335</v>
      </c>
      <c r="W125" s="25" t="s">
        <v>153</v>
      </c>
      <c r="X125" s="25" t="s">
        <v>164</v>
      </c>
      <c r="Y125" s="257">
        <v>40</v>
      </c>
      <c r="AA125">
        <f t="shared" si="3"/>
        <v>85</v>
      </c>
      <c r="AB125" s="279">
        <v>44684</v>
      </c>
      <c r="AC125" s="6">
        <v>1</v>
      </c>
      <c r="AD125">
        <f t="shared" si="5"/>
        <v>85</v>
      </c>
    </row>
    <row r="126" spans="20:30" x14ac:dyDescent="0.25">
      <c r="T126" t="str">
        <f t="shared" si="4"/>
        <v/>
      </c>
      <c r="V126" s="25" t="s">
        <v>336</v>
      </c>
      <c r="W126" s="25" t="s">
        <v>154</v>
      </c>
      <c r="X126" s="25" t="s">
        <v>238</v>
      </c>
      <c r="Y126" s="25">
        <v>45</v>
      </c>
      <c r="AA126">
        <f t="shared" si="3"/>
        <v>86</v>
      </c>
      <c r="AB126" s="279">
        <v>44685</v>
      </c>
      <c r="AC126" s="6">
        <v>1</v>
      </c>
      <c r="AD126">
        <f t="shared" si="5"/>
        <v>86</v>
      </c>
    </row>
    <row r="127" spans="20:30" x14ac:dyDescent="0.25">
      <c r="T127" t="str">
        <f t="shared" si="4"/>
        <v/>
      </c>
      <c r="V127" s="25" t="s">
        <v>337</v>
      </c>
      <c r="W127" s="25" t="s">
        <v>154</v>
      </c>
      <c r="X127" s="25" t="s">
        <v>238</v>
      </c>
      <c r="Y127" s="25">
        <v>45</v>
      </c>
      <c r="AA127">
        <f t="shared" si="3"/>
        <v>87</v>
      </c>
      <c r="AB127" s="279">
        <v>44686</v>
      </c>
      <c r="AC127" s="6">
        <v>1</v>
      </c>
      <c r="AD127">
        <f t="shared" si="5"/>
        <v>87</v>
      </c>
    </row>
    <row r="128" spans="20:30" x14ac:dyDescent="0.25">
      <c r="T128" t="str">
        <f t="shared" si="4"/>
        <v/>
      </c>
      <c r="V128" s="25" t="s">
        <v>338</v>
      </c>
      <c r="W128" s="25" t="s">
        <v>154</v>
      </c>
      <c r="X128" s="25" t="s">
        <v>238</v>
      </c>
      <c r="Y128" s="25">
        <v>50</v>
      </c>
      <c r="AA128">
        <f t="shared" si="3"/>
        <v>88</v>
      </c>
      <c r="AB128" s="279">
        <v>44687</v>
      </c>
      <c r="AC128" s="6">
        <v>1</v>
      </c>
      <c r="AD128">
        <f t="shared" si="5"/>
        <v>88</v>
      </c>
    </row>
    <row r="129" spans="20:30" x14ac:dyDescent="0.25">
      <c r="T129" t="str">
        <f t="shared" si="4"/>
        <v/>
      </c>
      <c r="V129" s="25" t="s">
        <v>339</v>
      </c>
      <c r="W129" s="25" t="s">
        <v>153</v>
      </c>
      <c r="X129" s="25" t="s">
        <v>164</v>
      </c>
      <c r="Y129" s="25">
        <v>40</v>
      </c>
      <c r="AA129">
        <f t="shared" si="3"/>
        <v>88</v>
      </c>
      <c r="AB129" s="279">
        <v>44688</v>
      </c>
      <c r="AC129" s="6">
        <v>0</v>
      </c>
      <c r="AD129">
        <f t="shared" si="5"/>
        <v>88</v>
      </c>
    </row>
    <row r="130" spans="20:30" x14ac:dyDescent="0.25">
      <c r="T130" t="str">
        <f t="shared" si="4"/>
        <v/>
      </c>
      <c r="V130" s="25" t="s">
        <v>195</v>
      </c>
      <c r="W130" s="25" t="s">
        <v>153</v>
      </c>
      <c r="X130" s="25" t="s">
        <v>164</v>
      </c>
      <c r="Y130" s="25">
        <v>40</v>
      </c>
      <c r="AA130">
        <f t="shared" si="3"/>
        <v>88</v>
      </c>
      <c r="AB130" s="279">
        <v>44689</v>
      </c>
      <c r="AC130" s="6">
        <v>0</v>
      </c>
      <c r="AD130">
        <f t="shared" si="5"/>
        <v>88</v>
      </c>
    </row>
    <row r="131" spans="20:30" x14ac:dyDescent="0.25">
      <c r="T131" t="str">
        <f t="shared" si="4"/>
        <v/>
      </c>
      <c r="V131" s="25" t="s">
        <v>340</v>
      </c>
      <c r="W131" s="25" t="s">
        <v>153</v>
      </c>
      <c r="X131" s="25" t="s">
        <v>164</v>
      </c>
      <c r="Y131" s="25">
        <v>40</v>
      </c>
      <c r="AA131">
        <f t="shared" si="3"/>
        <v>89</v>
      </c>
      <c r="AB131" s="279">
        <v>44690</v>
      </c>
      <c r="AC131" s="6">
        <v>1</v>
      </c>
      <c r="AD131">
        <f t="shared" si="5"/>
        <v>89</v>
      </c>
    </row>
    <row r="132" spans="20:30" x14ac:dyDescent="0.25">
      <c r="T132" t="str">
        <f t="shared" si="4"/>
        <v/>
      </c>
      <c r="V132" s="25" t="s">
        <v>341</v>
      </c>
      <c r="W132" s="25" t="s">
        <v>153</v>
      </c>
      <c r="X132" s="25" t="s">
        <v>164</v>
      </c>
      <c r="Y132" s="25">
        <v>45</v>
      </c>
      <c r="AA132">
        <f t="shared" ref="AA132:AA195" si="6">AA131+AC132</f>
        <v>90</v>
      </c>
      <c r="AB132" s="279">
        <v>44691</v>
      </c>
      <c r="AC132" s="6">
        <v>1</v>
      </c>
      <c r="AD132">
        <f t="shared" si="5"/>
        <v>90</v>
      </c>
    </row>
    <row r="133" spans="20:30" x14ac:dyDescent="0.25">
      <c r="T133" t="str">
        <f t="shared" ref="T133:T180" si="7">RIGHT(S133,3)</f>
        <v/>
      </c>
      <c r="V133" s="25" t="s">
        <v>342</v>
      </c>
      <c r="W133" s="25" t="s">
        <v>153</v>
      </c>
      <c r="X133" s="25" t="s">
        <v>164</v>
      </c>
      <c r="Y133" s="25">
        <v>50</v>
      </c>
      <c r="AA133">
        <f t="shared" si="6"/>
        <v>91</v>
      </c>
      <c r="AB133" s="279">
        <v>44692</v>
      </c>
      <c r="AC133" s="6">
        <v>1</v>
      </c>
      <c r="AD133">
        <f t="shared" ref="AD133:AD196" si="8">AA132+AC133</f>
        <v>91</v>
      </c>
    </row>
    <row r="134" spans="20:30" x14ac:dyDescent="0.25">
      <c r="T134" t="str">
        <f t="shared" si="7"/>
        <v/>
      </c>
      <c r="V134" s="25" t="s">
        <v>197</v>
      </c>
      <c r="W134" s="25" t="s">
        <v>153</v>
      </c>
      <c r="X134" s="25" t="s">
        <v>164</v>
      </c>
      <c r="Y134" s="257">
        <v>40</v>
      </c>
      <c r="AA134">
        <f t="shared" si="6"/>
        <v>92</v>
      </c>
      <c r="AB134" s="279">
        <v>44693</v>
      </c>
      <c r="AC134" s="6">
        <v>1</v>
      </c>
      <c r="AD134">
        <f t="shared" si="8"/>
        <v>92</v>
      </c>
    </row>
    <row r="135" spans="20:30" x14ac:dyDescent="0.25">
      <c r="T135" t="str">
        <f t="shared" si="7"/>
        <v/>
      </c>
      <c r="V135" s="25" t="s">
        <v>199</v>
      </c>
      <c r="W135" s="25" t="s">
        <v>153</v>
      </c>
      <c r="X135" s="25" t="s">
        <v>164</v>
      </c>
      <c r="Y135" s="25">
        <v>45</v>
      </c>
      <c r="AA135">
        <f t="shared" si="6"/>
        <v>93</v>
      </c>
      <c r="AB135" s="279">
        <v>44694</v>
      </c>
      <c r="AC135" s="6">
        <v>1</v>
      </c>
      <c r="AD135">
        <f t="shared" si="8"/>
        <v>93</v>
      </c>
    </row>
    <row r="136" spans="20:30" x14ac:dyDescent="0.25">
      <c r="T136" t="str">
        <f t="shared" si="7"/>
        <v/>
      </c>
      <c r="V136" s="25" t="s">
        <v>343</v>
      </c>
      <c r="W136" s="25" t="s">
        <v>154</v>
      </c>
      <c r="X136" s="25" t="s">
        <v>238</v>
      </c>
      <c r="Y136" s="25">
        <v>55</v>
      </c>
      <c r="AA136">
        <f t="shared" si="6"/>
        <v>93</v>
      </c>
      <c r="AB136" s="279">
        <v>44695</v>
      </c>
      <c r="AC136" s="6">
        <v>0</v>
      </c>
      <c r="AD136">
        <f t="shared" si="8"/>
        <v>93</v>
      </c>
    </row>
    <row r="137" spans="20:30" x14ac:dyDescent="0.25">
      <c r="T137" t="str">
        <f t="shared" si="7"/>
        <v/>
      </c>
      <c r="V137" s="25" t="s">
        <v>344</v>
      </c>
      <c r="W137" s="25" t="s">
        <v>153</v>
      </c>
      <c r="X137" s="25" t="s">
        <v>164</v>
      </c>
      <c r="Y137" s="25">
        <v>40</v>
      </c>
      <c r="AA137">
        <f t="shared" si="6"/>
        <v>93</v>
      </c>
      <c r="AB137" s="279">
        <v>44696</v>
      </c>
      <c r="AC137" s="6">
        <v>0</v>
      </c>
      <c r="AD137">
        <f t="shared" si="8"/>
        <v>93</v>
      </c>
    </row>
    <row r="138" spans="20:30" x14ac:dyDescent="0.25">
      <c r="T138" t="str">
        <f t="shared" si="7"/>
        <v/>
      </c>
      <c r="V138" s="25" t="s">
        <v>345</v>
      </c>
      <c r="W138" s="25" t="s">
        <v>154</v>
      </c>
      <c r="X138" s="25" t="s">
        <v>238</v>
      </c>
      <c r="Y138" s="25">
        <v>45</v>
      </c>
      <c r="AA138">
        <f t="shared" si="6"/>
        <v>94</v>
      </c>
      <c r="AB138" s="279">
        <v>44697</v>
      </c>
      <c r="AC138" s="6">
        <v>1</v>
      </c>
      <c r="AD138">
        <f t="shared" si="8"/>
        <v>94</v>
      </c>
    </row>
    <row r="139" spans="20:30" x14ac:dyDescent="0.25">
      <c r="T139" t="str">
        <f t="shared" si="7"/>
        <v/>
      </c>
      <c r="V139" s="25" t="s">
        <v>346</v>
      </c>
      <c r="W139" s="25" t="s">
        <v>153</v>
      </c>
      <c r="X139" s="25" t="s">
        <v>164</v>
      </c>
      <c r="Y139" s="25">
        <v>50</v>
      </c>
      <c r="AA139">
        <f t="shared" si="6"/>
        <v>95</v>
      </c>
      <c r="AB139" s="279">
        <v>44698</v>
      </c>
      <c r="AC139" s="6">
        <v>1</v>
      </c>
      <c r="AD139">
        <f t="shared" si="8"/>
        <v>95</v>
      </c>
    </row>
    <row r="140" spans="20:30" x14ac:dyDescent="0.25">
      <c r="T140" t="str">
        <f t="shared" si="7"/>
        <v/>
      </c>
      <c r="V140" s="25" t="s">
        <v>347</v>
      </c>
      <c r="W140" s="25" t="s">
        <v>153</v>
      </c>
      <c r="X140" s="25" t="s">
        <v>164</v>
      </c>
      <c r="Y140" s="25">
        <v>50</v>
      </c>
      <c r="AA140">
        <f t="shared" si="6"/>
        <v>96</v>
      </c>
      <c r="AB140" s="279">
        <v>44699</v>
      </c>
      <c r="AC140" s="6">
        <v>1</v>
      </c>
      <c r="AD140">
        <f t="shared" si="8"/>
        <v>96</v>
      </c>
    </row>
    <row r="141" spans="20:30" x14ac:dyDescent="0.25">
      <c r="T141" t="str">
        <f t="shared" si="7"/>
        <v/>
      </c>
      <c r="V141" s="25" t="s">
        <v>348</v>
      </c>
      <c r="W141" s="25" t="s">
        <v>153</v>
      </c>
      <c r="X141" s="25" t="s">
        <v>164</v>
      </c>
      <c r="Y141" s="25">
        <v>35</v>
      </c>
      <c r="AA141">
        <f t="shared" si="6"/>
        <v>97</v>
      </c>
      <c r="AB141" s="279">
        <v>44700</v>
      </c>
      <c r="AC141" s="6">
        <v>1</v>
      </c>
      <c r="AD141">
        <f t="shared" si="8"/>
        <v>97</v>
      </c>
    </row>
    <row r="142" spans="20:30" x14ac:dyDescent="0.25">
      <c r="T142" t="str">
        <f t="shared" si="7"/>
        <v/>
      </c>
      <c r="V142" s="25" t="s">
        <v>349</v>
      </c>
      <c r="W142" s="25" t="s">
        <v>153</v>
      </c>
      <c r="X142" s="25" t="s">
        <v>164</v>
      </c>
      <c r="Y142" s="25">
        <v>55</v>
      </c>
      <c r="AA142">
        <f t="shared" si="6"/>
        <v>98</v>
      </c>
      <c r="AB142" s="279">
        <v>44701</v>
      </c>
      <c r="AC142" s="6">
        <v>1</v>
      </c>
      <c r="AD142">
        <f t="shared" si="8"/>
        <v>98</v>
      </c>
    </row>
    <row r="143" spans="20:30" x14ac:dyDescent="0.25">
      <c r="T143" t="str">
        <f t="shared" si="7"/>
        <v/>
      </c>
      <c r="V143" s="25" t="s">
        <v>350</v>
      </c>
      <c r="W143" s="25" t="s">
        <v>153</v>
      </c>
      <c r="X143" s="25" t="s">
        <v>164</v>
      </c>
      <c r="Y143" s="25">
        <v>40</v>
      </c>
      <c r="AA143">
        <f t="shared" si="6"/>
        <v>98</v>
      </c>
      <c r="AB143" s="279">
        <v>44702</v>
      </c>
      <c r="AC143" s="6">
        <v>0</v>
      </c>
      <c r="AD143">
        <f t="shared" si="8"/>
        <v>98</v>
      </c>
    </row>
    <row r="144" spans="20:30" x14ac:dyDescent="0.25">
      <c r="T144" t="str">
        <f t="shared" si="7"/>
        <v/>
      </c>
      <c r="V144" s="25" t="s">
        <v>201</v>
      </c>
      <c r="W144" s="25" t="s">
        <v>154</v>
      </c>
      <c r="X144" s="25" t="s">
        <v>238</v>
      </c>
      <c r="Y144" s="25">
        <v>60</v>
      </c>
      <c r="AA144">
        <f t="shared" si="6"/>
        <v>98</v>
      </c>
      <c r="AB144" s="279">
        <v>44703</v>
      </c>
      <c r="AC144" s="6">
        <v>0</v>
      </c>
      <c r="AD144">
        <f t="shared" si="8"/>
        <v>98</v>
      </c>
    </row>
    <row r="145" spans="20:30" x14ac:dyDescent="0.25">
      <c r="T145" t="str">
        <f t="shared" si="7"/>
        <v/>
      </c>
      <c r="V145" s="25" t="s">
        <v>351</v>
      </c>
      <c r="W145" s="25" t="s">
        <v>154</v>
      </c>
      <c r="X145" s="25" t="s">
        <v>238</v>
      </c>
      <c r="Y145" s="25">
        <v>55</v>
      </c>
      <c r="AA145">
        <f t="shared" si="6"/>
        <v>99</v>
      </c>
      <c r="AB145" s="279">
        <v>44704</v>
      </c>
      <c r="AC145" s="6">
        <v>1</v>
      </c>
      <c r="AD145">
        <f t="shared" si="8"/>
        <v>99</v>
      </c>
    </row>
    <row r="146" spans="20:30" x14ac:dyDescent="0.25">
      <c r="T146" t="str">
        <f t="shared" si="7"/>
        <v/>
      </c>
      <c r="V146" s="25" t="s">
        <v>352</v>
      </c>
      <c r="W146" s="25" t="s">
        <v>153</v>
      </c>
      <c r="X146" s="25" t="s">
        <v>164</v>
      </c>
      <c r="Y146" s="25">
        <v>35</v>
      </c>
      <c r="AA146">
        <f t="shared" si="6"/>
        <v>100</v>
      </c>
      <c r="AB146" s="279">
        <v>44705</v>
      </c>
      <c r="AC146" s="6">
        <v>1</v>
      </c>
      <c r="AD146">
        <f t="shared" si="8"/>
        <v>100</v>
      </c>
    </row>
    <row r="147" spans="20:30" x14ac:dyDescent="0.25">
      <c r="T147" t="str">
        <f t="shared" si="7"/>
        <v/>
      </c>
      <c r="V147" s="25" t="s">
        <v>353</v>
      </c>
      <c r="W147" s="25" t="s">
        <v>153</v>
      </c>
      <c r="X147" s="25" t="s">
        <v>164</v>
      </c>
      <c r="Y147" s="25">
        <v>40</v>
      </c>
      <c r="AA147">
        <f t="shared" si="6"/>
        <v>101</v>
      </c>
      <c r="AB147" s="279">
        <v>44706</v>
      </c>
      <c r="AC147" s="6">
        <v>1</v>
      </c>
      <c r="AD147">
        <f t="shared" si="8"/>
        <v>101</v>
      </c>
    </row>
    <row r="148" spans="20:30" x14ac:dyDescent="0.25">
      <c r="T148" t="str">
        <f t="shared" si="7"/>
        <v/>
      </c>
      <c r="V148" s="25" t="s">
        <v>354</v>
      </c>
      <c r="W148" s="25" t="s">
        <v>154</v>
      </c>
      <c r="X148" s="25" t="s">
        <v>238</v>
      </c>
      <c r="Y148" s="25">
        <v>55</v>
      </c>
      <c r="AA148">
        <f t="shared" si="6"/>
        <v>102</v>
      </c>
      <c r="AB148" s="279">
        <v>44707</v>
      </c>
      <c r="AC148" s="6">
        <v>1</v>
      </c>
      <c r="AD148">
        <f t="shared" si="8"/>
        <v>102</v>
      </c>
    </row>
    <row r="149" spans="20:30" x14ac:dyDescent="0.25">
      <c r="T149" t="str">
        <f t="shared" si="7"/>
        <v/>
      </c>
      <c r="V149" s="25" t="s">
        <v>355</v>
      </c>
      <c r="W149" s="25" t="s">
        <v>154</v>
      </c>
      <c r="X149" s="25" t="s">
        <v>238</v>
      </c>
      <c r="Y149" s="25">
        <v>60</v>
      </c>
      <c r="AA149">
        <f t="shared" si="6"/>
        <v>103</v>
      </c>
      <c r="AB149" s="279">
        <v>44708</v>
      </c>
      <c r="AC149" s="6">
        <v>1</v>
      </c>
      <c r="AD149">
        <f t="shared" si="8"/>
        <v>103</v>
      </c>
    </row>
    <row r="150" spans="20:30" x14ac:dyDescent="0.25">
      <c r="T150" t="str">
        <f t="shared" si="7"/>
        <v/>
      </c>
      <c r="V150" s="25" t="s">
        <v>356</v>
      </c>
      <c r="W150" s="25" t="s">
        <v>153</v>
      </c>
      <c r="X150" s="25" t="s">
        <v>164</v>
      </c>
      <c r="Y150" s="25">
        <v>35</v>
      </c>
      <c r="AA150">
        <f t="shared" si="6"/>
        <v>103</v>
      </c>
      <c r="AB150" s="279">
        <v>44709</v>
      </c>
      <c r="AC150" s="6">
        <v>0</v>
      </c>
      <c r="AD150">
        <f t="shared" si="8"/>
        <v>103</v>
      </c>
    </row>
    <row r="151" spans="20:30" x14ac:dyDescent="0.25">
      <c r="T151" t="str">
        <f t="shared" si="7"/>
        <v/>
      </c>
      <c r="V151" s="25" t="s">
        <v>357</v>
      </c>
      <c r="W151" s="25" t="s">
        <v>154</v>
      </c>
      <c r="X151" s="25" t="s">
        <v>238</v>
      </c>
      <c r="Y151" s="25">
        <v>50</v>
      </c>
      <c r="AA151">
        <f t="shared" si="6"/>
        <v>103</v>
      </c>
      <c r="AB151" s="279">
        <v>44710</v>
      </c>
      <c r="AC151" s="6">
        <v>0</v>
      </c>
      <c r="AD151">
        <f t="shared" si="8"/>
        <v>103</v>
      </c>
    </row>
    <row r="152" spans="20:30" x14ac:dyDescent="0.25">
      <c r="T152" t="str">
        <f t="shared" si="7"/>
        <v/>
      </c>
      <c r="V152" s="25" t="s">
        <v>358</v>
      </c>
      <c r="W152" s="25" t="s">
        <v>154</v>
      </c>
      <c r="X152" s="25" t="s">
        <v>238</v>
      </c>
      <c r="Y152" s="25">
        <v>50</v>
      </c>
      <c r="AA152">
        <f t="shared" si="6"/>
        <v>104</v>
      </c>
      <c r="AB152" s="279">
        <v>44711</v>
      </c>
      <c r="AC152" s="6">
        <v>1</v>
      </c>
      <c r="AD152">
        <f t="shared" si="8"/>
        <v>104</v>
      </c>
    </row>
    <row r="153" spans="20:30" x14ac:dyDescent="0.25">
      <c r="T153" t="str">
        <f t="shared" si="7"/>
        <v/>
      </c>
      <c r="V153" s="25" t="s">
        <v>359</v>
      </c>
      <c r="W153" s="25" t="s">
        <v>154</v>
      </c>
      <c r="X153" s="25" t="s">
        <v>238</v>
      </c>
      <c r="Y153" s="25">
        <v>55</v>
      </c>
      <c r="AA153">
        <f t="shared" si="6"/>
        <v>105</v>
      </c>
      <c r="AB153" s="279">
        <v>44712</v>
      </c>
      <c r="AC153" s="6">
        <v>1</v>
      </c>
      <c r="AD153">
        <f t="shared" si="8"/>
        <v>105</v>
      </c>
    </row>
    <row r="154" spans="20:30" x14ac:dyDescent="0.25">
      <c r="T154" t="str">
        <f t="shared" si="7"/>
        <v/>
      </c>
      <c r="V154" s="25" t="s">
        <v>360</v>
      </c>
      <c r="W154" s="25" t="s">
        <v>154</v>
      </c>
      <c r="X154" s="25" t="s">
        <v>238</v>
      </c>
      <c r="Y154" s="25">
        <v>50</v>
      </c>
      <c r="AA154">
        <f t="shared" si="6"/>
        <v>106</v>
      </c>
      <c r="AB154" s="279">
        <v>44713</v>
      </c>
      <c r="AC154" s="6">
        <v>1</v>
      </c>
      <c r="AD154">
        <f t="shared" si="8"/>
        <v>106</v>
      </c>
    </row>
    <row r="155" spans="20:30" x14ac:dyDescent="0.25">
      <c r="T155" t="str">
        <f t="shared" si="7"/>
        <v/>
      </c>
      <c r="V155" s="25" t="s">
        <v>361</v>
      </c>
      <c r="W155" s="25" t="s">
        <v>153</v>
      </c>
      <c r="X155" s="25" t="s">
        <v>164</v>
      </c>
      <c r="Y155" s="25">
        <v>40</v>
      </c>
      <c r="AA155">
        <f t="shared" si="6"/>
        <v>107</v>
      </c>
      <c r="AB155" s="279">
        <v>44714</v>
      </c>
      <c r="AC155" s="6">
        <v>1</v>
      </c>
      <c r="AD155">
        <f t="shared" si="8"/>
        <v>107</v>
      </c>
    </row>
    <row r="156" spans="20:30" x14ac:dyDescent="0.25">
      <c r="T156" t="str">
        <f t="shared" si="7"/>
        <v/>
      </c>
      <c r="V156" s="25" t="s">
        <v>362</v>
      </c>
      <c r="W156" s="25" t="s">
        <v>154</v>
      </c>
      <c r="X156" s="25" t="s">
        <v>238</v>
      </c>
      <c r="Y156" s="25">
        <v>55</v>
      </c>
      <c r="AA156">
        <f t="shared" si="6"/>
        <v>108</v>
      </c>
      <c r="AB156" s="279">
        <v>44715</v>
      </c>
      <c r="AC156" s="6">
        <v>1</v>
      </c>
      <c r="AD156">
        <f t="shared" si="8"/>
        <v>108</v>
      </c>
    </row>
    <row r="157" spans="20:30" x14ac:dyDescent="0.25">
      <c r="T157" t="str">
        <f t="shared" si="7"/>
        <v/>
      </c>
      <c r="V157" s="25" t="s">
        <v>363</v>
      </c>
      <c r="W157" s="25" t="s">
        <v>153</v>
      </c>
      <c r="X157" s="25" t="s">
        <v>164</v>
      </c>
      <c r="Y157" s="25">
        <v>50</v>
      </c>
      <c r="AA157">
        <f t="shared" si="6"/>
        <v>108</v>
      </c>
      <c r="AB157" s="279">
        <v>44716</v>
      </c>
      <c r="AC157" s="6">
        <v>0</v>
      </c>
      <c r="AD157">
        <f t="shared" si="8"/>
        <v>108</v>
      </c>
    </row>
    <row r="158" spans="20:30" x14ac:dyDescent="0.25">
      <c r="T158" t="str">
        <f t="shared" si="7"/>
        <v/>
      </c>
      <c r="V158" s="25" t="s">
        <v>364</v>
      </c>
      <c r="W158" s="25" t="s">
        <v>153</v>
      </c>
      <c r="X158" s="25" t="s">
        <v>164</v>
      </c>
      <c r="Y158" s="25">
        <v>45</v>
      </c>
      <c r="AA158">
        <f t="shared" si="6"/>
        <v>108</v>
      </c>
      <c r="AB158" s="279">
        <v>44717</v>
      </c>
      <c r="AC158" s="6">
        <v>0</v>
      </c>
      <c r="AD158">
        <f t="shared" si="8"/>
        <v>108</v>
      </c>
    </row>
    <row r="159" spans="20:30" x14ac:dyDescent="0.25">
      <c r="T159" t="str">
        <f t="shared" si="7"/>
        <v/>
      </c>
      <c r="V159" s="25" t="s">
        <v>203</v>
      </c>
      <c r="W159" s="25" t="s">
        <v>153</v>
      </c>
      <c r="X159" s="25" t="s">
        <v>164</v>
      </c>
      <c r="Y159" s="25">
        <v>55</v>
      </c>
      <c r="AA159">
        <f t="shared" si="6"/>
        <v>109</v>
      </c>
      <c r="AB159" s="279">
        <v>44718</v>
      </c>
      <c r="AC159" s="6">
        <v>1</v>
      </c>
      <c r="AD159">
        <f t="shared" si="8"/>
        <v>109</v>
      </c>
    </row>
    <row r="160" spans="20:30" x14ac:dyDescent="0.25">
      <c r="T160" t="str">
        <f t="shared" si="7"/>
        <v/>
      </c>
      <c r="V160" s="25" t="s">
        <v>205</v>
      </c>
      <c r="W160" s="25" t="s">
        <v>206</v>
      </c>
      <c r="X160" s="25" t="s">
        <v>310</v>
      </c>
      <c r="Y160" s="25">
        <v>75</v>
      </c>
      <c r="AA160">
        <f t="shared" si="6"/>
        <v>110</v>
      </c>
      <c r="AB160" s="279">
        <v>44719</v>
      </c>
      <c r="AC160" s="6">
        <v>1</v>
      </c>
      <c r="AD160">
        <f t="shared" si="8"/>
        <v>110</v>
      </c>
    </row>
    <row r="161" spans="20:30" x14ac:dyDescent="0.25">
      <c r="T161" t="str">
        <f t="shared" si="7"/>
        <v/>
      </c>
      <c r="V161" s="25" t="s">
        <v>365</v>
      </c>
      <c r="W161" s="25" t="s">
        <v>153</v>
      </c>
      <c r="X161" s="25" t="s">
        <v>164</v>
      </c>
      <c r="Y161" s="25">
        <v>40</v>
      </c>
      <c r="AA161">
        <f t="shared" si="6"/>
        <v>111</v>
      </c>
      <c r="AB161" s="279">
        <v>44720</v>
      </c>
      <c r="AC161" s="6">
        <v>1</v>
      </c>
      <c r="AD161">
        <f t="shared" si="8"/>
        <v>111</v>
      </c>
    </row>
    <row r="162" spans="20:30" x14ac:dyDescent="0.25">
      <c r="T162" t="str">
        <f t="shared" si="7"/>
        <v/>
      </c>
      <c r="V162" s="25" t="s">
        <v>366</v>
      </c>
      <c r="W162" s="25" t="s">
        <v>154</v>
      </c>
      <c r="X162" s="25" t="s">
        <v>238</v>
      </c>
      <c r="Y162" s="25">
        <v>55</v>
      </c>
      <c r="AA162">
        <f t="shared" si="6"/>
        <v>112</v>
      </c>
      <c r="AB162" s="279">
        <v>44721</v>
      </c>
      <c r="AC162" s="6">
        <v>1</v>
      </c>
      <c r="AD162">
        <f t="shared" si="8"/>
        <v>112</v>
      </c>
    </row>
    <row r="163" spans="20:30" x14ac:dyDescent="0.25">
      <c r="T163" t="str">
        <f t="shared" si="7"/>
        <v/>
      </c>
      <c r="V163" s="25" t="s">
        <v>207</v>
      </c>
      <c r="W163" s="25" t="s">
        <v>153</v>
      </c>
      <c r="X163" s="25" t="s">
        <v>164</v>
      </c>
      <c r="Y163" s="25">
        <v>40</v>
      </c>
      <c r="AA163">
        <f t="shared" si="6"/>
        <v>113</v>
      </c>
      <c r="AB163" s="279">
        <v>44722</v>
      </c>
      <c r="AC163" s="6">
        <v>1</v>
      </c>
      <c r="AD163">
        <f t="shared" si="8"/>
        <v>113</v>
      </c>
    </row>
    <row r="164" spans="20:30" x14ac:dyDescent="0.25">
      <c r="T164" t="str">
        <f t="shared" si="7"/>
        <v/>
      </c>
      <c r="V164" s="25" t="s">
        <v>367</v>
      </c>
      <c r="W164" s="25" t="s">
        <v>153</v>
      </c>
      <c r="X164" s="25" t="s">
        <v>164</v>
      </c>
      <c r="Y164" s="25">
        <v>45</v>
      </c>
      <c r="AA164">
        <f t="shared" si="6"/>
        <v>113</v>
      </c>
      <c r="AB164" s="279">
        <v>44723</v>
      </c>
      <c r="AC164" s="6">
        <v>0</v>
      </c>
      <c r="AD164">
        <f t="shared" si="8"/>
        <v>113</v>
      </c>
    </row>
    <row r="165" spans="20:30" x14ac:dyDescent="0.25">
      <c r="T165" t="str">
        <f t="shared" si="7"/>
        <v/>
      </c>
      <c r="V165" s="25" t="s">
        <v>368</v>
      </c>
      <c r="W165" s="25" t="s">
        <v>153</v>
      </c>
      <c r="X165" s="25" t="s">
        <v>164</v>
      </c>
      <c r="Y165" s="25">
        <v>40</v>
      </c>
      <c r="AA165">
        <f t="shared" si="6"/>
        <v>113</v>
      </c>
      <c r="AB165" s="279">
        <v>44724</v>
      </c>
      <c r="AC165" s="6">
        <v>0</v>
      </c>
      <c r="AD165">
        <f t="shared" si="8"/>
        <v>113</v>
      </c>
    </row>
    <row r="166" spans="20:30" x14ac:dyDescent="0.25">
      <c r="T166" t="str">
        <f t="shared" si="7"/>
        <v/>
      </c>
      <c r="V166" s="25" t="s">
        <v>369</v>
      </c>
      <c r="W166" s="25" t="s">
        <v>153</v>
      </c>
      <c r="X166" s="25" t="s">
        <v>164</v>
      </c>
      <c r="Y166" s="25">
        <v>45</v>
      </c>
      <c r="AA166">
        <f t="shared" si="6"/>
        <v>114</v>
      </c>
      <c r="AB166" s="279">
        <v>44725</v>
      </c>
      <c r="AC166" s="6">
        <v>1</v>
      </c>
      <c r="AD166">
        <f t="shared" si="8"/>
        <v>114</v>
      </c>
    </row>
    <row r="167" spans="20:30" x14ac:dyDescent="0.25">
      <c r="T167" t="str">
        <f t="shared" si="7"/>
        <v/>
      </c>
      <c r="V167" s="25" t="s">
        <v>209</v>
      </c>
      <c r="W167" s="25" t="s">
        <v>153</v>
      </c>
      <c r="X167" s="25" t="s">
        <v>164</v>
      </c>
      <c r="Y167" s="25">
        <v>40</v>
      </c>
      <c r="AA167">
        <f t="shared" si="6"/>
        <v>115</v>
      </c>
      <c r="AB167" s="279">
        <v>44726</v>
      </c>
      <c r="AC167" s="6">
        <v>1</v>
      </c>
      <c r="AD167">
        <f t="shared" si="8"/>
        <v>115</v>
      </c>
    </row>
    <row r="168" spans="20:30" x14ac:dyDescent="0.25">
      <c r="T168" t="str">
        <f t="shared" si="7"/>
        <v/>
      </c>
      <c r="V168" s="25" t="s">
        <v>370</v>
      </c>
      <c r="W168" s="25" t="s">
        <v>153</v>
      </c>
      <c r="X168" s="25" t="s">
        <v>164</v>
      </c>
      <c r="Y168" s="25">
        <v>45</v>
      </c>
      <c r="AA168">
        <f t="shared" si="6"/>
        <v>116</v>
      </c>
      <c r="AB168" s="279">
        <v>44727</v>
      </c>
      <c r="AC168" s="6">
        <v>1</v>
      </c>
      <c r="AD168">
        <f t="shared" si="8"/>
        <v>116</v>
      </c>
    </row>
    <row r="169" spans="20:30" x14ac:dyDescent="0.25">
      <c r="T169" t="str">
        <f t="shared" si="7"/>
        <v/>
      </c>
      <c r="V169" s="25" t="s">
        <v>371</v>
      </c>
      <c r="W169" s="25" t="s">
        <v>154</v>
      </c>
      <c r="X169" s="25" t="s">
        <v>238</v>
      </c>
      <c r="Y169" s="25">
        <v>55</v>
      </c>
      <c r="AA169">
        <f t="shared" si="6"/>
        <v>117</v>
      </c>
      <c r="AB169" s="279">
        <v>44728</v>
      </c>
      <c r="AC169" s="6">
        <v>1</v>
      </c>
      <c r="AD169">
        <f t="shared" si="8"/>
        <v>117</v>
      </c>
    </row>
    <row r="170" spans="20:30" x14ac:dyDescent="0.25">
      <c r="T170" t="str">
        <f t="shared" si="7"/>
        <v/>
      </c>
      <c r="V170" s="25" t="s">
        <v>372</v>
      </c>
      <c r="W170" s="25" t="s">
        <v>153</v>
      </c>
      <c r="X170" s="25" t="s">
        <v>164</v>
      </c>
      <c r="Y170" s="25">
        <v>45</v>
      </c>
      <c r="AA170">
        <f t="shared" si="6"/>
        <v>118</v>
      </c>
      <c r="AB170" s="279">
        <v>44729</v>
      </c>
      <c r="AC170" s="6">
        <v>1</v>
      </c>
      <c r="AD170">
        <f t="shared" si="8"/>
        <v>118</v>
      </c>
    </row>
    <row r="171" spans="20:30" x14ac:dyDescent="0.25">
      <c r="T171" t="str">
        <f t="shared" si="7"/>
        <v/>
      </c>
      <c r="V171" s="25" t="s">
        <v>373</v>
      </c>
      <c r="W171" s="25" t="s">
        <v>154</v>
      </c>
      <c r="X171" s="25" t="s">
        <v>238</v>
      </c>
      <c r="Y171" s="25">
        <v>50</v>
      </c>
      <c r="AA171">
        <f t="shared" si="6"/>
        <v>118</v>
      </c>
      <c r="AB171" s="279">
        <v>44730</v>
      </c>
      <c r="AC171" s="6">
        <v>0</v>
      </c>
      <c r="AD171">
        <f t="shared" si="8"/>
        <v>118</v>
      </c>
    </row>
    <row r="172" spans="20:30" x14ac:dyDescent="0.25">
      <c r="T172" t="str">
        <f t="shared" si="7"/>
        <v/>
      </c>
      <c r="V172" s="25" t="s">
        <v>374</v>
      </c>
      <c r="W172" s="25" t="s">
        <v>153</v>
      </c>
      <c r="X172" s="25" t="s">
        <v>164</v>
      </c>
      <c r="Y172" s="25">
        <v>40</v>
      </c>
      <c r="AA172">
        <f t="shared" si="6"/>
        <v>118</v>
      </c>
      <c r="AB172" s="279">
        <v>44731</v>
      </c>
      <c r="AC172" s="6">
        <v>0</v>
      </c>
      <c r="AD172">
        <f t="shared" si="8"/>
        <v>118</v>
      </c>
    </row>
    <row r="173" spans="20:30" x14ac:dyDescent="0.25">
      <c r="T173" t="str">
        <f t="shared" si="7"/>
        <v/>
      </c>
      <c r="V173" s="25" t="s">
        <v>211</v>
      </c>
      <c r="W173" s="25" t="s">
        <v>212</v>
      </c>
      <c r="X173" s="25" t="s">
        <v>375</v>
      </c>
      <c r="Y173" s="25">
        <v>45</v>
      </c>
      <c r="AA173">
        <f t="shared" si="6"/>
        <v>119</v>
      </c>
      <c r="AB173" s="279">
        <v>44732</v>
      </c>
      <c r="AC173" s="6">
        <v>1</v>
      </c>
      <c r="AD173">
        <f t="shared" si="8"/>
        <v>119</v>
      </c>
    </row>
    <row r="174" spans="20:30" x14ac:dyDescent="0.25">
      <c r="T174" t="str">
        <f t="shared" si="7"/>
        <v/>
      </c>
      <c r="V174" s="25" t="s">
        <v>376</v>
      </c>
      <c r="W174" s="25" t="s">
        <v>154</v>
      </c>
      <c r="X174" s="25" t="s">
        <v>238</v>
      </c>
      <c r="Y174" s="25">
        <v>65</v>
      </c>
      <c r="AA174">
        <f t="shared" si="6"/>
        <v>120</v>
      </c>
      <c r="AB174" s="279">
        <v>44733</v>
      </c>
      <c r="AC174" s="6">
        <v>1</v>
      </c>
      <c r="AD174">
        <f t="shared" si="8"/>
        <v>120</v>
      </c>
    </row>
    <row r="175" spans="20:30" x14ac:dyDescent="0.25">
      <c r="T175" t="str">
        <f t="shared" si="7"/>
        <v/>
      </c>
      <c r="V175" s="25" t="s">
        <v>377</v>
      </c>
      <c r="W175" s="25" t="s">
        <v>153</v>
      </c>
      <c r="X175" s="25" t="s">
        <v>164</v>
      </c>
      <c r="Y175" s="25">
        <v>40</v>
      </c>
      <c r="AA175">
        <f t="shared" si="6"/>
        <v>121</v>
      </c>
      <c r="AB175" s="279">
        <v>44734</v>
      </c>
      <c r="AC175" s="6">
        <v>1</v>
      </c>
      <c r="AD175">
        <f t="shared" si="8"/>
        <v>121</v>
      </c>
    </row>
    <row r="176" spans="20:30" x14ac:dyDescent="0.25">
      <c r="T176" t="str">
        <f t="shared" si="7"/>
        <v/>
      </c>
      <c r="V176" s="25" t="s">
        <v>378</v>
      </c>
      <c r="W176" s="25" t="s">
        <v>154</v>
      </c>
      <c r="X176" s="25" t="s">
        <v>238</v>
      </c>
      <c r="Y176" s="25">
        <v>55</v>
      </c>
      <c r="AA176">
        <f t="shared" si="6"/>
        <v>122</v>
      </c>
      <c r="AB176" s="279">
        <v>44735</v>
      </c>
      <c r="AC176" s="6">
        <v>1</v>
      </c>
      <c r="AD176">
        <f t="shared" si="8"/>
        <v>122</v>
      </c>
    </row>
    <row r="177" spans="20:30" x14ac:dyDescent="0.25">
      <c r="T177" t="str">
        <f t="shared" si="7"/>
        <v/>
      </c>
      <c r="V177" s="25" t="s">
        <v>379</v>
      </c>
      <c r="W177" s="25" t="s">
        <v>154</v>
      </c>
      <c r="X177" s="25" t="s">
        <v>238</v>
      </c>
      <c r="Y177" s="25">
        <v>50</v>
      </c>
      <c r="AA177">
        <f t="shared" si="6"/>
        <v>123</v>
      </c>
      <c r="AB177" s="279">
        <v>44736</v>
      </c>
      <c r="AC177" s="6">
        <v>1</v>
      </c>
      <c r="AD177">
        <f t="shared" si="8"/>
        <v>123</v>
      </c>
    </row>
    <row r="178" spans="20:30" x14ac:dyDescent="0.25">
      <c r="T178" t="str">
        <f t="shared" si="7"/>
        <v/>
      </c>
      <c r="V178" s="25" t="s">
        <v>476</v>
      </c>
      <c r="W178" s="25" t="s">
        <v>153</v>
      </c>
      <c r="X178" s="25" t="s">
        <v>164</v>
      </c>
      <c r="Y178" s="25">
        <v>35</v>
      </c>
      <c r="AA178">
        <f t="shared" si="6"/>
        <v>123</v>
      </c>
      <c r="AB178" s="279">
        <v>44737</v>
      </c>
      <c r="AC178" s="6">
        <v>0</v>
      </c>
      <c r="AD178">
        <f t="shared" si="8"/>
        <v>123</v>
      </c>
    </row>
    <row r="179" spans="20:30" x14ac:dyDescent="0.25">
      <c r="T179" t="str">
        <f t="shared" si="7"/>
        <v/>
      </c>
      <c r="AA179">
        <f t="shared" si="6"/>
        <v>123</v>
      </c>
      <c r="AB179" s="279">
        <v>44738</v>
      </c>
      <c r="AC179" s="6">
        <v>0</v>
      </c>
      <c r="AD179">
        <f t="shared" si="8"/>
        <v>123</v>
      </c>
    </row>
    <row r="180" spans="20:30" x14ac:dyDescent="0.25">
      <c r="T180" t="str">
        <f t="shared" si="7"/>
        <v/>
      </c>
      <c r="AA180">
        <f t="shared" si="6"/>
        <v>124</v>
      </c>
      <c r="AB180" s="279">
        <v>44739</v>
      </c>
      <c r="AC180" s="6">
        <v>1</v>
      </c>
      <c r="AD180">
        <f t="shared" si="8"/>
        <v>124</v>
      </c>
    </row>
    <row r="181" spans="20:30" x14ac:dyDescent="0.25">
      <c r="AA181">
        <f t="shared" si="6"/>
        <v>125</v>
      </c>
      <c r="AB181" s="279">
        <v>44740</v>
      </c>
      <c r="AC181" s="6">
        <v>1</v>
      </c>
      <c r="AD181">
        <f t="shared" si="8"/>
        <v>125</v>
      </c>
    </row>
    <row r="182" spans="20:30" x14ac:dyDescent="0.25">
      <c r="AA182">
        <f t="shared" si="6"/>
        <v>126</v>
      </c>
      <c r="AB182" s="279">
        <v>44741</v>
      </c>
      <c r="AC182" s="6">
        <v>1</v>
      </c>
      <c r="AD182">
        <f t="shared" si="8"/>
        <v>126</v>
      </c>
    </row>
    <row r="183" spans="20:30" x14ac:dyDescent="0.25">
      <c r="AA183">
        <f t="shared" si="6"/>
        <v>127</v>
      </c>
      <c r="AB183" s="279">
        <v>44742</v>
      </c>
      <c r="AC183" s="6">
        <v>1</v>
      </c>
      <c r="AD183">
        <f t="shared" si="8"/>
        <v>127</v>
      </c>
    </row>
    <row r="184" spans="20:30" x14ac:dyDescent="0.25">
      <c r="AA184">
        <f t="shared" si="6"/>
        <v>128</v>
      </c>
      <c r="AB184" s="279">
        <v>44743</v>
      </c>
      <c r="AC184" s="6">
        <v>1</v>
      </c>
      <c r="AD184">
        <f t="shared" si="8"/>
        <v>128</v>
      </c>
    </row>
    <row r="185" spans="20:30" x14ac:dyDescent="0.25">
      <c r="AA185">
        <f t="shared" si="6"/>
        <v>128</v>
      </c>
      <c r="AB185" s="279">
        <v>44744</v>
      </c>
      <c r="AC185" s="6">
        <v>0</v>
      </c>
      <c r="AD185">
        <f t="shared" si="8"/>
        <v>128</v>
      </c>
    </row>
    <row r="186" spans="20:30" x14ac:dyDescent="0.25">
      <c r="AA186">
        <f t="shared" si="6"/>
        <v>128</v>
      </c>
      <c r="AB186" s="279">
        <v>44745</v>
      </c>
      <c r="AC186" s="6">
        <v>0</v>
      </c>
      <c r="AD186">
        <f t="shared" si="8"/>
        <v>128</v>
      </c>
    </row>
    <row r="187" spans="20:30" x14ac:dyDescent="0.25">
      <c r="AA187">
        <f t="shared" si="6"/>
        <v>129</v>
      </c>
      <c r="AB187" s="279">
        <v>44746</v>
      </c>
      <c r="AC187" s="6">
        <v>1</v>
      </c>
      <c r="AD187">
        <f t="shared" si="8"/>
        <v>129</v>
      </c>
    </row>
    <row r="188" spans="20:30" x14ac:dyDescent="0.25">
      <c r="AA188">
        <f t="shared" si="6"/>
        <v>129</v>
      </c>
      <c r="AB188" s="279">
        <v>44747</v>
      </c>
      <c r="AC188" s="6">
        <v>0</v>
      </c>
      <c r="AD188">
        <f t="shared" si="8"/>
        <v>129</v>
      </c>
    </row>
    <row r="189" spans="20:30" x14ac:dyDescent="0.25">
      <c r="AA189">
        <f t="shared" si="6"/>
        <v>129</v>
      </c>
      <c r="AB189" s="279">
        <v>44748</v>
      </c>
      <c r="AC189" s="6">
        <v>0</v>
      </c>
      <c r="AD189">
        <f t="shared" si="8"/>
        <v>129</v>
      </c>
    </row>
    <row r="190" spans="20:30" x14ac:dyDescent="0.25">
      <c r="AA190">
        <f t="shared" si="6"/>
        <v>130</v>
      </c>
      <c r="AB190" s="279">
        <v>44749</v>
      </c>
      <c r="AC190" s="6">
        <v>1</v>
      </c>
      <c r="AD190">
        <f t="shared" si="8"/>
        <v>130</v>
      </c>
    </row>
    <row r="191" spans="20:30" x14ac:dyDescent="0.25">
      <c r="AA191">
        <f t="shared" si="6"/>
        <v>131</v>
      </c>
      <c r="AB191" s="279">
        <v>44750</v>
      </c>
      <c r="AC191" s="6">
        <v>1</v>
      </c>
      <c r="AD191">
        <f t="shared" si="8"/>
        <v>131</v>
      </c>
    </row>
    <row r="192" spans="20:30" x14ac:dyDescent="0.25">
      <c r="AA192">
        <f t="shared" si="6"/>
        <v>131</v>
      </c>
      <c r="AB192" s="279">
        <v>44751</v>
      </c>
      <c r="AC192" s="6">
        <v>0</v>
      </c>
      <c r="AD192">
        <f t="shared" si="8"/>
        <v>131</v>
      </c>
    </row>
    <row r="193" spans="27:30" x14ac:dyDescent="0.25">
      <c r="AA193">
        <f t="shared" si="6"/>
        <v>131</v>
      </c>
      <c r="AB193" s="279">
        <v>44752</v>
      </c>
      <c r="AC193" s="6">
        <v>0</v>
      </c>
      <c r="AD193">
        <f t="shared" si="8"/>
        <v>131</v>
      </c>
    </row>
    <row r="194" spans="27:30" x14ac:dyDescent="0.25">
      <c r="AA194">
        <f t="shared" si="6"/>
        <v>132</v>
      </c>
      <c r="AB194" s="279">
        <v>44753</v>
      </c>
      <c r="AC194" s="6">
        <v>1</v>
      </c>
      <c r="AD194">
        <f t="shared" si="8"/>
        <v>132</v>
      </c>
    </row>
    <row r="195" spans="27:30" x14ac:dyDescent="0.25">
      <c r="AA195">
        <f t="shared" si="6"/>
        <v>133</v>
      </c>
      <c r="AB195" s="279">
        <v>44754</v>
      </c>
      <c r="AC195" s="6">
        <v>1</v>
      </c>
      <c r="AD195">
        <f t="shared" si="8"/>
        <v>133</v>
      </c>
    </row>
    <row r="196" spans="27:30" x14ac:dyDescent="0.25">
      <c r="AA196">
        <f t="shared" ref="AA196:AA259" si="9">AA195+AC196</f>
        <v>134</v>
      </c>
      <c r="AB196" s="279">
        <v>44755</v>
      </c>
      <c r="AC196" s="6">
        <v>1</v>
      </c>
      <c r="AD196">
        <f t="shared" si="8"/>
        <v>134</v>
      </c>
    </row>
    <row r="197" spans="27:30" x14ac:dyDescent="0.25">
      <c r="AA197">
        <f t="shared" si="9"/>
        <v>135</v>
      </c>
      <c r="AB197" s="279">
        <v>44756</v>
      </c>
      <c r="AC197" s="6">
        <v>1</v>
      </c>
      <c r="AD197">
        <f t="shared" ref="AD197:AD260" si="10">AA196+AC197</f>
        <v>135</v>
      </c>
    </row>
    <row r="198" spans="27:30" x14ac:dyDescent="0.25">
      <c r="AA198">
        <f t="shared" si="9"/>
        <v>136</v>
      </c>
      <c r="AB198" s="279">
        <v>44757</v>
      </c>
      <c r="AC198" s="6">
        <v>1</v>
      </c>
      <c r="AD198">
        <f t="shared" si="10"/>
        <v>136</v>
      </c>
    </row>
    <row r="199" spans="27:30" x14ac:dyDescent="0.25">
      <c r="AA199">
        <f t="shared" si="9"/>
        <v>136</v>
      </c>
      <c r="AB199" s="279">
        <v>44758</v>
      </c>
      <c r="AC199" s="6">
        <v>0</v>
      </c>
      <c r="AD199">
        <f t="shared" si="10"/>
        <v>136</v>
      </c>
    </row>
    <row r="200" spans="27:30" x14ac:dyDescent="0.25">
      <c r="AA200">
        <f t="shared" si="9"/>
        <v>136</v>
      </c>
      <c r="AB200" s="279">
        <v>44759</v>
      </c>
      <c r="AC200" s="6">
        <v>0</v>
      </c>
      <c r="AD200">
        <f t="shared" si="10"/>
        <v>136</v>
      </c>
    </row>
    <row r="201" spans="27:30" x14ac:dyDescent="0.25">
      <c r="AA201">
        <f t="shared" si="9"/>
        <v>137</v>
      </c>
      <c r="AB201" s="279">
        <v>44760</v>
      </c>
      <c r="AC201" s="6">
        <v>1</v>
      </c>
      <c r="AD201">
        <f t="shared" si="10"/>
        <v>137</v>
      </c>
    </row>
    <row r="202" spans="27:30" x14ac:dyDescent="0.25">
      <c r="AA202">
        <f t="shared" si="9"/>
        <v>138</v>
      </c>
      <c r="AB202" s="279">
        <v>44761</v>
      </c>
      <c r="AC202" s="6">
        <v>1</v>
      </c>
      <c r="AD202">
        <f t="shared" si="10"/>
        <v>138</v>
      </c>
    </row>
    <row r="203" spans="27:30" x14ac:dyDescent="0.25">
      <c r="AA203">
        <f t="shared" si="9"/>
        <v>139</v>
      </c>
      <c r="AB203" s="279">
        <v>44762</v>
      </c>
      <c r="AC203" s="6">
        <v>1</v>
      </c>
      <c r="AD203">
        <f t="shared" si="10"/>
        <v>139</v>
      </c>
    </row>
    <row r="204" spans="27:30" x14ac:dyDescent="0.25">
      <c r="AA204">
        <f t="shared" si="9"/>
        <v>140</v>
      </c>
      <c r="AB204" s="279">
        <v>44763</v>
      </c>
      <c r="AC204" s="6">
        <v>1</v>
      </c>
      <c r="AD204">
        <f t="shared" si="10"/>
        <v>140</v>
      </c>
    </row>
    <row r="205" spans="27:30" x14ac:dyDescent="0.25">
      <c r="AA205">
        <f t="shared" si="9"/>
        <v>141</v>
      </c>
      <c r="AB205" s="279">
        <v>44764</v>
      </c>
      <c r="AC205" s="6">
        <v>1</v>
      </c>
      <c r="AD205">
        <f t="shared" si="10"/>
        <v>141</v>
      </c>
    </row>
    <row r="206" spans="27:30" x14ac:dyDescent="0.25">
      <c r="AA206">
        <f t="shared" si="9"/>
        <v>141</v>
      </c>
      <c r="AB206" s="279">
        <v>44765</v>
      </c>
      <c r="AC206" s="6">
        <v>0</v>
      </c>
      <c r="AD206">
        <f t="shared" si="10"/>
        <v>141</v>
      </c>
    </row>
    <row r="207" spans="27:30" x14ac:dyDescent="0.25">
      <c r="AA207">
        <f t="shared" si="9"/>
        <v>141</v>
      </c>
      <c r="AB207" s="279">
        <v>44766</v>
      </c>
      <c r="AC207" s="6">
        <v>0</v>
      </c>
      <c r="AD207">
        <f t="shared" si="10"/>
        <v>141</v>
      </c>
    </row>
    <row r="208" spans="27:30" x14ac:dyDescent="0.25">
      <c r="AA208">
        <f t="shared" si="9"/>
        <v>142</v>
      </c>
      <c r="AB208" s="279">
        <v>44767</v>
      </c>
      <c r="AC208" s="6">
        <v>1</v>
      </c>
      <c r="AD208">
        <f t="shared" si="10"/>
        <v>142</v>
      </c>
    </row>
    <row r="209" spans="27:30" x14ac:dyDescent="0.25">
      <c r="AA209">
        <f t="shared" si="9"/>
        <v>143</v>
      </c>
      <c r="AB209" s="279">
        <v>44768</v>
      </c>
      <c r="AC209" s="6">
        <v>1</v>
      </c>
      <c r="AD209">
        <f t="shared" si="10"/>
        <v>143</v>
      </c>
    </row>
    <row r="210" spans="27:30" x14ac:dyDescent="0.25">
      <c r="AA210">
        <f t="shared" si="9"/>
        <v>144</v>
      </c>
      <c r="AB210" s="279">
        <v>44769</v>
      </c>
      <c r="AC210" s="6">
        <v>1</v>
      </c>
      <c r="AD210">
        <f t="shared" si="10"/>
        <v>144</v>
      </c>
    </row>
    <row r="211" spans="27:30" x14ac:dyDescent="0.25">
      <c r="AA211">
        <f t="shared" si="9"/>
        <v>145</v>
      </c>
      <c r="AB211" s="279">
        <v>44770</v>
      </c>
      <c r="AC211" s="6">
        <v>1</v>
      </c>
      <c r="AD211">
        <f t="shared" si="10"/>
        <v>145</v>
      </c>
    </row>
    <row r="212" spans="27:30" x14ac:dyDescent="0.25">
      <c r="AA212">
        <f t="shared" si="9"/>
        <v>146</v>
      </c>
      <c r="AB212" s="279">
        <v>44771</v>
      </c>
      <c r="AC212" s="6">
        <v>1</v>
      </c>
      <c r="AD212">
        <f t="shared" si="10"/>
        <v>146</v>
      </c>
    </row>
    <row r="213" spans="27:30" x14ac:dyDescent="0.25">
      <c r="AA213">
        <f t="shared" si="9"/>
        <v>146</v>
      </c>
      <c r="AB213" s="279">
        <v>44772</v>
      </c>
      <c r="AC213" s="6">
        <v>0</v>
      </c>
      <c r="AD213">
        <f t="shared" si="10"/>
        <v>146</v>
      </c>
    </row>
    <row r="214" spans="27:30" x14ac:dyDescent="0.25">
      <c r="AA214">
        <f t="shared" si="9"/>
        <v>146</v>
      </c>
      <c r="AB214" s="279">
        <v>44773</v>
      </c>
      <c r="AC214" s="6">
        <v>0</v>
      </c>
      <c r="AD214">
        <f t="shared" si="10"/>
        <v>146</v>
      </c>
    </row>
    <row r="215" spans="27:30" x14ac:dyDescent="0.25">
      <c r="AA215">
        <f t="shared" si="9"/>
        <v>147</v>
      </c>
      <c r="AB215" s="279">
        <v>44774</v>
      </c>
      <c r="AC215" s="6">
        <v>1</v>
      </c>
      <c r="AD215">
        <f t="shared" si="10"/>
        <v>147</v>
      </c>
    </row>
    <row r="216" spans="27:30" x14ac:dyDescent="0.25">
      <c r="AA216">
        <f t="shared" si="9"/>
        <v>148</v>
      </c>
      <c r="AB216" s="279">
        <v>44775</v>
      </c>
      <c r="AC216" s="6">
        <v>1</v>
      </c>
      <c r="AD216">
        <f t="shared" si="10"/>
        <v>148</v>
      </c>
    </row>
    <row r="217" spans="27:30" x14ac:dyDescent="0.25">
      <c r="AA217">
        <f t="shared" si="9"/>
        <v>149</v>
      </c>
      <c r="AB217" s="279">
        <v>44776</v>
      </c>
      <c r="AC217" s="6">
        <v>1</v>
      </c>
      <c r="AD217">
        <f t="shared" si="10"/>
        <v>149</v>
      </c>
    </row>
    <row r="218" spans="27:30" x14ac:dyDescent="0.25">
      <c r="AA218">
        <f t="shared" si="9"/>
        <v>150</v>
      </c>
      <c r="AB218" s="279">
        <v>44777</v>
      </c>
      <c r="AC218" s="6">
        <v>1</v>
      </c>
      <c r="AD218">
        <f t="shared" si="10"/>
        <v>150</v>
      </c>
    </row>
    <row r="219" spans="27:30" x14ac:dyDescent="0.25">
      <c r="AA219">
        <f t="shared" si="9"/>
        <v>151</v>
      </c>
      <c r="AB219" s="279">
        <v>44778</v>
      </c>
      <c r="AC219" s="6">
        <v>1</v>
      </c>
      <c r="AD219">
        <f t="shared" si="10"/>
        <v>151</v>
      </c>
    </row>
    <row r="220" spans="27:30" x14ac:dyDescent="0.25">
      <c r="AA220">
        <f t="shared" si="9"/>
        <v>151</v>
      </c>
      <c r="AB220" s="279">
        <v>44779</v>
      </c>
      <c r="AC220" s="6">
        <v>0</v>
      </c>
      <c r="AD220">
        <f t="shared" si="10"/>
        <v>151</v>
      </c>
    </row>
    <row r="221" spans="27:30" x14ac:dyDescent="0.25">
      <c r="AA221">
        <f t="shared" si="9"/>
        <v>151</v>
      </c>
      <c r="AB221" s="279">
        <v>44780</v>
      </c>
      <c r="AC221" s="6">
        <v>0</v>
      </c>
      <c r="AD221">
        <f t="shared" si="10"/>
        <v>151</v>
      </c>
    </row>
    <row r="222" spans="27:30" x14ac:dyDescent="0.25">
      <c r="AA222">
        <f t="shared" si="9"/>
        <v>152</v>
      </c>
      <c r="AB222" s="279">
        <v>44781</v>
      </c>
      <c r="AC222" s="6">
        <v>1</v>
      </c>
      <c r="AD222">
        <f t="shared" si="10"/>
        <v>152</v>
      </c>
    </row>
    <row r="223" spans="27:30" x14ac:dyDescent="0.25">
      <c r="AA223">
        <f t="shared" si="9"/>
        <v>153</v>
      </c>
      <c r="AB223" s="279">
        <v>44782</v>
      </c>
      <c r="AC223" s="6">
        <v>1</v>
      </c>
      <c r="AD223">
        <f t="shared" si="10"/>
        <v>153</v>
      </c>
    </row>
    <row r="224" spans="27:30" x14ac:dyDescent="0.25">
      <c r="AA224">
        <f t="shared" si="9"/>
        <v>154</v>
      </c>
      <c r="AB224" s="279">
        <v>44783</v>
      </c>
      <c r="AC224" s="6">
        <v>1</v>
      </c>
      <c r="AD224">
        <f t="shared" si="10"/>
        <v>154</v>
      </c>
    </row>
    <row r="225" spans="27:30" x14ac:dyDescent="0.25">
      <c r="AA225">
        <f t="shared" si="9"/>
        <v>155</v>
      </c>
      <c r="AB225" s="279">
        <v>44784</v>
      </c>
      <c r="AC225" s="6">
        <v>1</v>
      </c>
      <c r="AD225">
        <f t="shared" si="10"/>
        <v>155</v>
      </c>
    </row>
    <row r="226" spans="27:30" x14ac:dyDescent="0.25">
      <c r="AA226">
        <f t="shared" si="9"/>
        <v>156</v>
      </c>
      <c r="AB226" s="279">
        <v>44785</v>
      </c>
      <c r="AC226" s="6">
        <v>1</v>
      </c>
      <c r="AD226">
        <f t="shared" si="10"/>
        <v>156</v>
      </c>
    </row>
    <row r="227" spans="27:30" x14ac:dyDescent="0.25">
      <c r="AA227">
        <f t="shared" si="9"/>
        <v>156</v>
      </c>
      <c r="AB227" s="279">
        <v>44786</v>
      </c>
      <c r="AC227" s="6">
        <v>0</v>
      </c>
      <c r="AD227">
        <f t="shared" si="10"/>
        <v>156</v>
      </c>
    </row>
    <row r="228" spans="27:30" x14ac:dyDescent="0.25">
      <c r="AA228">
        <f t="shared" si="9"/>
        <v>156</v>
      </c>
      <c r="AB228" s="279">
        <v>44787</v>
      </c>
      <c r="AC228" s="6">
        <v>0</v>
      </c>
      <c r="AD228">
        <f t="shared" si="10"/>
        <v>156</v>
      </c>
    </row>
    <row r="229" spans="27:30" x14ac:dyDescent="0.25">
      <c r="AA229">
        <f t="shared" si="9"/>
        <v>157</v>
      </c>
      <c r="AB229" s="279">
        <v>44788</v>
      </c>
      <c r="AC229" s="6">
        <v>1</v>
      </c>
      <c r="AD229">
        <f t="shared" si="10"/>
        <v>157</v>
      </c>
    </row>
    <row r="230" spans="27:30" x14ac:dyDescent="0.25">
      <c r="AA230">
        <f t="shared" si="9"/>
        <v>158</v>
      </c>
      <c r="AB230" s="279">
        <v>44789</v>
      </c>
      <c r="AC230" s="6">
        <v>1</v>
      </c>
      <c r="AD230">
        <f t="shared" si="10"/>
        <v>158</v>
      </c>
    </row>
    <row r="231" spans="27:30" x14ac:dyDescent="0.25">
      <c r="AA231">
        <f t="shared" si="9"/>
        <v>159</v>
      </c>
      <c r="AB231" s="279">
        <v>44790</v>
      </c>
      <c r="AC231" s="6">
        <v>1</v>
      </c>
      <c r="AD231">
        <f t="shared" si="10"/>
        <v>159</v>
      </c>
    </row>
    <row r="232" spans="27:30" x14ac:dyDescent="0.25">
      <c r="AA232">
        <f t="shared" si="9"/>
        <v>160</v>
      </c>
      <c r="AB232" s="279">
        <v>44791</v>
      </c>
      <c r="AC232" s="6">
        <v>1</v>
      </c>
      <c r="AD232">
        <f t="shared" si="10"/>
        <v>160</v>
      </c>
    </row>
    <row r="233" spans="27:30" x14ac:dyDescent="0.25">
      <c r="AA233">
        <f t="shared" si="9"/>
        <v>161</v>
      </c>
      <c r="AB233" s="279">
        <v>44792</v>
      </c>
      <c r="AC233" s="6">
        <v>1</v>
      </c>
      <c r="AD233">
        <f t="shared" si="10"/>
        <v>161</v>
      </c>
    </row>
    <row r="234" spans="27:30" x14ac:dyDescent="0.25">
      <c r="AA234">
        <f t="shared" si="9"/>
        <v>161</v>
      </c>
      <c r="AB234" s="279">
        <v>44793</v>
      </c>
      <c r="AC234" s="6">
        <v>0</v>
      </c>
      <c r="AD234">
        <f t="shared" si="10"/>
        <v>161</v>
      </c>
    </row>
    <row r="235" spans="27:30" x14ac:dyDescent="0.25">
      <c r="AA235">
        <f t="shared" si="9"/>
        <v>161</v>
      </c>
      <c r="AB235" s="279">
        <v>44794</v>
      </c>
      <c r="AC235" s="6">
        <v>0</v>
      </c>
      <c r="AD235">
        <f t="shared" si="10"/>
        <v>161</v>
      </c>
    </row>
    <row r="236" spans="27:30" x14ac:dyDescent="0.25">
      <c r="AA236">
        <f t="shared" si="9"/>
        <v>162</v>
      </c>
      <c r="AB236" s="279">
        <v>44795</v>
      </c>
      <c r="AC236" s="6">
        <v>1</v>
      </c>
      <c r="AD236">
        <f t="shared" si="10"/>
        <v>162</v>
      </c>
    </row>
    <row r="237" spans="27:30" x14ac:dyDescent="0.25">
      <c r="AA237">
        <f t="shared" si="9"/>
        <v>163</v>
      </c>
      <c r="AB237" s="279">
        <v>44796</v>
      </c>
      <c r="AC237" s="6">
        <v>1</v>
      </c>
      <c r="AD237">
        <f t="shared" si="10"/>
        <v>163</v>
      </c>
    </row>
    <row r="238" spans="27:30" x14ac:dyDescent="0.25">
      <c r="AA238">
        <f t="shared" si="9"/>
        <v>164</v>
      </c>
      <c r="AB238" s="279">
        <v>44797</v>
      </c>
      <c r="AC238" s="6">
        <v>1</v>
      </c>
      <c r="AD238">
        <f t="shared" si="10"/>
        <v>164</v>
      </c>
    </row>
    <row r="239" spans="27:30" x14ac:dyDescent="0.25">
      <c r="AA239">
        <f t="shared" si="9"/>
        <v>165</v>
      </c>
      <c r="AB239" s="279">
        <v>44798</v>
      </c>
      <c r="AC239" s="6">
        <v>1</v>
      </c>
      <c r="AD239">
        <f t="shared" si="10"/>
        <v>165</v>
      </c>
    </row>
    <row r="240" spans="27:30" x14ac:dyDescent="0.25">
      <c r="AA240">
        <f t="shared" si="9"/>
        <v>166</v>
      </c>
      <c r="AB240" s="279">
        <v>44799</v>
      </c>
      <c r="AC240" s="6">
        <v>1</v>
      </c>
      <c r="AD240">
        <f t="shared" si="10"/>
        <v>166</v>
      </c>
    </row>
    <row r="241" spans="27:30" x14ac:dyDescent="0.25">
      <c r="AA241">
        <f t="shared" si="9"/>
        <v>166</v>
      </c>
      <c r="AB241" s="279">
        <v>44800</v>
      </c>
      <c r="AC241" s="6">
        <v>0</v>
      </c>
      <c r="AD241">
        <f t="shared" si="10"/>
        <v>166</v>
      </c>
    </row>
    <row r="242" spans="27:30" x14ac:dyDescent="0.25">
      <c r="AA242">
        <f t="shared" si="9"/>
        <v>166</v>
      </c>
      <c r="AB242" s="279">
        <v>44801</v>
      </c>
      <c r="AC242" s="6">
        <v>0</v>
      </c>
      <c r="AD242">
        <f t="shared" si="10"/>
        <v>166</v>
      </c>
    </row>
    <row r="243" spans="27:30" x14ac:dyDescent="0.25">
      <c r="AA243">
        <f t="shared" si="9"/>
        <v>167</v>
      </c>
      <c r="AB243" s="279">
        <v>44802</v>
      </c>
      <c r="AC243" s="6">
        <v>1</v>
      </c>
      <c r="AD243">
        <f t="shared" si="10"/>
        <v>167</v>
      </c>
    </row>
    <row r="244" spans="27:30" x14ac:dyDescent="0.25">
      <c r="AA244">
        <f t="shared" si="9"/>
        <v>168</v>
      </c>
      <c r="AB244" s="279">
        <v>44803</v>
      </c>
      <c r="AC244" s="6">
        <v>1</v>
      </c>
      <c r="AD244">
        <f t="shared" si="10"/>
        <v>168</v>
      </c>
    </row>
    <row r="245" spans="27:30" x14ac:dyDescent="0.25">
      <c r="AA245">
        <f t="shared" si="9"/>
        <v>169</v>
      </c>
      <c r="AB245" s="279">
        <v>44804</v>
      </c>
      <c r="AC245" s="6">
        <v>1</v>
      </c>
      <c r="AD245">
        <f t="shared" si="10"/>
        <v>169</v>
      </c>
    </row>
    <row r="246" spans="27:30" x14ac:dyDescent="0.25">
      <c r="AA246">
        <f t="shared" si="9"/>
        <v>170</v>
      </c>
      <c r="AB246" s="279">
        <v>44805</v>
      </c>
      <c r="AC246" s="6">
        <v>1</v>
      </c>
      <c r="AD246">
        <f t="shared" si="10"/>
        <v>170</v>
      </c>
    </row>
    <row r="247" spans="27:30" x14ac:dyDescent="0.25">
      <c r="AA247">
        <f t="shared" si="9"/>
        <v>171</v>
      </c>
      <c r="AB247" s="279">
        <v>44806</v>
      </c>
      <c r="AC247" s="6">
        <v>1</v>
      </c>
      <c r="AD247">
        <f t="shared" si="10"/>
        <v>171</v>
      </c>
    </row>
    <row r="248" spans="27:30" x14ac:dyDescent="0.25">
      <c r="AA248">
        <f t="shared" si="9"/>
        <v>171</v>
      </c>
      <c r="AB248" s="279">
        <v>44807</v>
      </c>
      <c r="AC248" s="6">
        <v>0</v>
      </c>
      <c r="AD248">
        <f t="shared" si="10"/>
        <v>171</v>
      </c>
    </row>
    <row r="249" spans="27:30" x14ac:dyDescent="0.25">
      <c r="AA249">
        <f t="shared" si="9"/>
        <v>171</v>
      </c>
      <c r="AB249" s="279">
        <v>44808</v>
      </c>
      <c r="AC249" s="6">
        <v>0</v>
      </c>
      <c r="AD249">
        <f t="shared" si="10"/>
        <v>171</v>
      </c>
    </row>
    <row r="250" spans="27:30" x14ac:dyDescent="0.25">
      <c r="AA250">
        <f t="shared" si="9"/>
        <v>172</v>
      </c>
      <c r="AB250" s="279">
        <v>44809</v>
      </c>
      <c r="AC250" s="6">
        <v>1</v>
      </c>
      <c r="AD250">
        <f t="shared" si="10"/>
        <v>172</v>
      </c>
    </row>
    <row r="251" spans="27:30" x14ac:dyDescent="0.25">
      <c r="AA251">
        <f t="shared" si="9"/>
        <v>173</v>
      </c>
      <c r="AB251" s="279">
        <v>44810</v>
      </c>
      <c r="AC251" s="6">
        <v>1</v>
      </c>
      <c r="AD251">
        <f t="shared" si="10"/>
        <v>173</v>
      </c>
    </row>
    <row r="252" spans="27:30" x14ac:dyDescent="0.25">
      <c r="AA252">
        <f t="shared" si="9"/>
        <v>174</v>
      </c>
      <c r="AB252" s="279">
        <v>44811</v>
      </c>
      <c r="AC252" s="6">
        <v>1</v>
      </c>
      <c r="AD252">
        <f t="shared" si="10"/>
        <v>174</v>
      </c>
    </row>
    <row r="253" spans="27:30" x14ac:dyDescent="0.25">
      <c r="AA253">
        <f t="shared" si="9"/>
        <v>175</v>
      </c>
      <c r="AB253" s="279">
        <v>44812</v>
      </c>
      <c r="AC253" s="6">
        <v>1</v>
      </c>
      <c r="AD253">
        <f t="shared" si="10"/>
        <v>175</v>
      </c>
    </row>
    <row r="254" spans="27:30" x14ac:dyDescent="0.25">
      <c r="AA254">
        <f t="shared" si="9"/>
        <v>176</v>
      </c>
      <c r="AB254" s="279">
        <v>44813</v>
      </c>
      <c r="AC254" s="6">
        <v>1</v>
      </c>
      <c r="AD254">
        <f t="shared" si="10"/>
        <v>176</v>
      </c>
    </row>
    <row r="255" spans="27:30" x14ac:dyDescent="0.25">
      <c r="AA255">
        <f t="shared" si="9"/>
        <v>176</v>
      </c>
      <c r="AB255" s="279">
        <v>44814</v>
      </c>
      <c r="AC255" s="6">
        <v>0</v>
      </c>
      <c r="AD255">
        <f t="shared" si="10"/>
        <v>176</v>
      </c>
    </row>
    <row r="256" spans="27:30" x14ac:dyDescent="0.25">
      <c r="AA256">
        <f t="shared" si="9"/>
        <v>176</v>
      </c>
      <c r="AB256" s="279">
        <v>44815</v>
      </c>
      <c r="AC256" s="6">
        <v>0</v>
      </c>
      <c r="AD256">
        <f t="shared" si="10"/>
        <v>176</v>
      </c>
    </row>
    <row r="257" spans="27:30" x14ac:dyDescent="0.25">
      <c r="AA257">
        <f t="shared" si="9"/>
        <v>177</v>
      </c>
      <c r="AB257" s="279">
        <v>44816</v>
      </c>
      <c r="AC257" s="6">
        <v>1</v>
      </c>
      <c r="AD257">
        <f t="shared" si="10"/>
        <v>177</v>
      </c>
    </row>
    <row r="258" spans="27:30" x14ac:dyDescent="0.25">
      <c r="AA258">
        <f t="shared" si="9"/>
        <v>178</v>
      </c>
      <c r="AB258" s="279">
        <v>44817</v>
      </c>
      <c r="AC258" s="6">
        <v>1</v>
      </c>
      <c r="AD258">
        <f t="shared" si="10"/>
        <v>178</v>
      </c>
    </row>
    <row r="259" spans="27:30" x14ac:dyDescent="0.25">
      <c r="AA259">
        <f t="shared" si="9"/>
        <v>179</v>
      </c>
      <c r="AB259" s="279">
        <v>44818</v>
      </c>
      <c r="AC259" s="6">
        <v>1</v>
      </c>
      <c r="AD259">
        <f t="shared" si="10"/>
        <v>179</v>
      </c>
    </row>
    <row r="260" spans="27:30" x14ac:dyDescent="0.25">
      <c r="AA260">
        <f t="shared" ref="AA260:AA323" si="11">AA259+AC260</f>
        <v>180</v>
      </c>
      <c r="AB260" s="279">
        <v>44819</v>
      </c>
      <c r="AC260" s="6">
        <v>1</v>
      </c>
      <c r="AD260">
        <f t="shared" si="10"/>
        <v>180</v>
      </c>
    </row>
    <row r="261" spans="27:30" x14ac:dyDescent="0.25">
      <c r="AA261">
        <f t="shared" si="11"/>
        <v>181</v>
      </c>
      <c r="AB261" s="279">
        <v>44820</v>
      </c>
      <c r="AC261" s="6">
        <v>1</v>
      </c>
      <c r="AD261">
        <f t="shared" ref="AD261:AD324" si="12">AA260+AC261</f>
        <v>181</v>
      </c>
    </row>
    <row r="262" spans="27:30" x14ac:dyDescent="0.25">
      <c r="AA262">
        <f t="shared" si="11"/>
        <v>181</v>
      </c>
      <c r="AB262" s="279">
        <v>44821</v>
      </c>
      <c r="AC262" s="6">
        <v>0</v>
      </c>
      <c r="AD262">
        <f t="shared" si="12"/>
        <v>181</v>
      </c>
    </row>
    <row r="263" spans="27:30" x14ac:dyDescent="0.25">
      <c r="AA263">
        <f t="shared" si="11"/>
        <v>181</v>
      </c>
      <c r="AB263" s="279">
        <v>44822</v>
      </c>
      <c r="AC263" s="6">
        <v>0</v>
      </c>
      <c r="AD263">
        <f t="shared" si="12"/>
        <v>181</v>
      </c>
    </row>
    <row r="264" spans="27:30" x14ac:dyDescent="0.25">
      <c r="AA264">
        <f t="shared" si="11"/>
        <v>182</v>
      </c>
      <c r="AB264" s="279">
        <v>44823</v>
      </c>
      <c r="AC264" s="6">
        <v>1</v>
      </c>
      <c r="AD264">
        <f t="shared" si="12"/>
        <v>182</v>
      </c>
    </row>
    <row r="265" spans="27:30" x14ac:dyDescent="0.25">
      <c r="AA265">
        <f t="shared" si="11"/>
        <v>183</v>
      </c>
      <c r="AB265" s="279">
        <v>44824</v>
      </c>
      <c r="AC265" s="6">
        <v>1</v>
      </c>
      <c r="AD265">
        <f t="shared" si="12"/>
        <v>183</v>
      </c>
    </row>
    <row r="266" spans="27:30" x14ac:dyDescent="0.25">
      <c r="AA266">
        <f t="shared" si="11"/>
        <v>184</v>
      </c>
      <c r="AB266" s="279">
        <v>44825</v>
      </c>
      <c r="AC266" s="6">
        <v>1</v>
      </c>
      <c r="AD266">
        <f t="shared" si="12"/>
        <v>184</v>
      </c>
    </row>
    <row r="267" spans="27:30" x14ac:dyDescent="0.25">
      <c r="AA267">
        <f t="shared" si="11"/>
        <v>185</v>
      </c>
      <c r="AB267" s="279">
        <v>44826</v>
      </c>
      <c r="AC267" s="6">
        <v>1</v>
      </c>
      <c r="AD267">
        <f t="shared" si="12"/>
        <v>185</v>
      </c>
    </row>
    <row r="268" spans="27:30" x14ac:dyDescent="0.25">
      <c r="AA268">
        <f t="shared" si="11"/>
        <v>186</v>
      </c>
      <c r="AB268" s="279">
        <v>44827</v>
      </c>
      <c r="AC268" s="6">
        <v>1</v>
      </c>
      <c r="AD268">
        <f t="shared" si="12"/>
        <v>186</v>
      </c>
    </row>
    <row r="269" spans="27:30" x14ac:dyDescent="0.25">
      <c r="AA269">
        <f t="shared" si="11"/>
        <v>186</v>
      </c>
      <c r="AB269" s="279">
        <v>44828</v>
      </c>
      <c r="AC269" s="6">
        <v>0</v>
      </c>
      <c r="AD269">
        <f t="shared" si="12"/>
        <v>186</v>
      </c>
    </row>
    <row r="270" spans="27:30" x14ac:dyDescent="0.25">
      <c r="AA270">
        <f t="shared" si="11"/>
        <v>186</v>
      </c>
      <c r="AB270" s="279">
        <v>44829</v>
      </c>
      <c r="AC270" s="6">
        <v>0</v>
      </c>
      <c r="AD270">
        <f t="shared" si="12"/>
        <v>186</v>
      </c>
    </row>
    <row r="271" spans="27:30" x14ac:dyDescent="0.25">
      <c r="AA271">
        <f t="shared" si="11"/>
        <v>187</v>
      </c>
      <c r="AB271" s="279">
        <v>44830</v>
      </c>
      <c r="AC271" s="6">
        <v>1</v>
      </c>
      <c r="AD271">
        <f t="shared" si="12"/>
        <v>187</v>
      </c>
    </row>
    <row r="272" spans="27:30" x14ac:dyDescent="0.25">
      <c r="AA272">
        <f t="shared" si="11"/>
        <v>188</v>
      </c>
      <c r="AB272" s="279">
        <v>44831</v>
      </c>
      <c r="AC272" s="6">
        <v>1</v>
      </c>
      <c r="AD272">
        <f t="shared" si="12"/>
        <v>188</v>
      </c>
    </row>
    <row r="273" spans="27:30" x14ac:dyDescent="0.25">
      <c r="AA273">
        <f t="shared" si="11"/>
        <v>188</v>
      </c>
      <c r="AB273" s="279">
        <v>44832</v>
      </c>
      <c r="AC273" s="6">
        <v>0</v>
      </c>
      <c r="AD273">
        <f t="shared" si="12"/>
        <v>188</v>
      </c>
    </row>
    <row r="274" spans="27:30" x14ac:dyDescent="0.25">
      <c r="AA274">
        <f t="shared" si="11"/>
        <v>189</v>
      </c>
      <c r="AB274" s="279">
        <v>44833</v>
      </c>
      <c r="AC274" s="6">
        <v>1</v>
      </c>
      <c r="AD274">
        <f t="shared" si="12"/>
        <v>189</v>
      </c>
    </row>
    <row r="275" spans="27:30" x14ac:dyDescent="0.25">
      <c r="AA275">
        <f t="shared" si="11"/>
        <v>190</v>
      </c>
      <c r="AB275" s="279">
        <v>44834</v>
      </c>
      <c r="AC275" s="6">
        <v>1</v>
      </c>
      <c r="AD275">
        <f t="shared" si="12"/>
        <v>190</v>
      </c>
    </row>
    <row r="276" spans="27:30" x14ac:dyDescent="0.25">
      <c r="AA276">
        <f t="shared" si="11"/>
        <v>190</v>
      </c>
      <c r="AB276" s="279">
        <v>44835</v>
      </c>
      <c r="AC276" s="6">
        <v>0</v>
      </c>
      <c r="AD276">
        <f t="shared" si="12"/>
        <v>190</v>
      </c>
    </row>
    <row r="277" spans="27:30" x14ac:dyDescent="0.25">
      <c r="AA277">
        <f t="shared" si="11"/>
        <v>190</v>
      </c>
      <c r="AB277" s="279">
        <v>44836</v>
      </c>
      <c r="AC277" s="6">
        <v>0</v>
      </c>
      <c r="AD277">
        <f t="shared" si="12"/>
        <v>190</v>
      </c>
    </row>
    <row r="278" spans="27:30" x14ac:dyDescent="0.25">
      <c r="AA278">
        <f t="shared" si="11"/>
        <v>191</v>
      </c>
      <c r="AB278" s="279">
        <v>44837</v>
      </c>
      <c r="AC278" s="6">
        <v>1</v>
      </c>
      <c r="AD278">
        <f t="shared" si="12"/>
        <v>191</v>
      </c>
    </row>
    <row r="279" spans="27:30" x14ac:dyDescent="0.25">
      <c r="AA279">
        <f t="shared" si="11"/>
        <v>192</v>
      </c>
      <c r="AB279" s="279">
        <v>44838</v>
      </c>
      <c r="AC279" s="6">
        <v>1</v>
      </c>
      <c r="AD279">
        <f t="shared" si="12"/>
        <v>192</v>
      </c>
    </row>
    <row r="280" spans="27:30" x14ac:dyDescent="0.25">
      <c r="AA280">
        <f t="shared" si="11"/>
        <v>193</v>
      </c>
      <c r="AB280" s="279">
        <v>44839</v>
      </c>
      <c r="AC280" s="6">
        <v>1</v>
      </c>
      <c r="AD280">
        <f t="shared" si="12"/>
        <v>193</v>
      </c>
    </row>
    <row r="281" spans="27:30" x14ac:dyDescent="0.25">
      <c r="AA281">
        <f t="shared" si="11"/>
        <v>194</v>
      </c>
      <c r="AB281" s="279">
        <v>44840</v>
      </c>
      <c r="AC281" s="6">
        <v>1</v>
      </c>
      <c r="AD281">
        <f t="shared" si="12"/>
        <v>194</v>
      </c>
    </row>
    <row r="282" spans="27:30" x14ac:dyDescent="0.25">
      <c r="AA282">
        <f t="shared" si="11"/>
        <v>195</v>
      </c>
      <c r="AB282" s="279">
        <v>44841</v>
      </c>
      <c r="AC282" s="6">
        <v>1</v>
      </c>
      <c r="AD282">
        <f t="shared" si="12"/>
        <v>195</v>
      </c>
    </row>
    <row r="283" spans="27:30" x14ac:dyDescent="0.25">
      <c r="AA283">
        <f t="shared" si="11"/>
        <v>195</v>
      </c>
      <c r="AB283" s="279">
        <v>44842</v>
      </c>
      <c r="AC283" s="6">
        <v>0</v>
      </c>
      <c r="AD283">
        <f t="shared" si="12"/>
        <v>195</v>
      </c>
    </row>
    <row r="284" spans="27:30" x14ac:dyDescent="0.25">
      <c r="AA284">
        <f t="shared" si="11"/>
        <v>195</v>
      </c>
      <c r="AB284" s="279">
        <v>44843</v>
      </c>
      <c r="AC284" s="6">
        <v>0</v>
      </c>
      <c r="AD284">
        <f t="shared" si="12"/>
        <v>195</v>
      </c>
    </row>
    <row r="285" spans="27:30" x14ac:dyDescent="0.25">
      <c r="AA285">
        <f t="shared" si="11"/>
        <v>196</v>
      </c>
      <c r="AB285" s="279">
        <v>44844</v>
      </c>
      <c r="AC285" s="6">
        <v>1</v>
      </c>
      <c r="AD285">
        <f t="shared" si="12"/>
        <v>196</v>
      </c>
    </row>
    <row r="286" spans="27:30" x14ac:dyDescent="0.25">
      <c r="AA286">
        <f t="shared" si="11"/>
        <v>197</v>
      </c>
      <c r="AB286" s="279">
        <v>44845</v>
      </c>
      <c r="AC286" s="6">
        <v>1</v>
      </c>
      <c r="AD286">
        <f t="shared" si="12"/>
        <v>197</v>
      </c>
    </row>
    <row r="287" spans="27:30" x14ac:dyDescent="0.25">
      <c r="AA287">
        <f t="shared" si="11"/>
        <v>198</v>
      </c>
      <c r="AB287" s="279">
        <v>44846</v>
      </c>
      <c r="AC287" s="6">
        <v>1</v>
      </c>
      <c r="AD287">
        <f t="shared" si="12"/>
        <v>198</v>
      </c>
    </row>
    <row r="288" spans="27:30" x14ac:dyDescent="0.25">
      <c r="AA288">
        <f t="shared" si="11"/>
        <v>199</v>
      </c>
      <c r="AB288" s="279">
        <v>44847</v>
      </c>
      <c r="AC288" s="6">
        <v>1</v>
      </c>
      <c r="AD288">
        <f t="shared" si="12"/>
        <v>199</v>
      </c>
    </row>
    <row r="289" spans="27:30" x14ac:dyDescent="0.25">
      <c r="AA289">
        <f t="shared" si="11"/>
        <v>200</v>
      </c>
      <c r="AB289" s="279">
        <v>44848</v>
      </c>
      <c r="AC289" s="6">
        <v>1</v>
      </c>
      <c r="AD289">
        <f t="shared" si="12"/>
        <v>200</v>
      </c>
    </row>
    <row r="290" spans="27:30" x14ac:dyDescent="0.25">
      <c r="AA290">
        <f t="shared" si="11"/>
        <v>200</v>
      </c>
      <c r="AB290" s="279">
        <v>44849</v>
      </c>
      <c r="AC290" s="6">
        <v>0</v>
      </c>
      <c r="AD290">
        <f t="shared" si="12"/>
        <v>200</v>
      </c>
    </row>
    <row r="291" spans="27:30" x14ac:dyDescent="0.25">
      <c r="AA291">
        <f t="shared" si="11"/>
        <v>200</v>
      </c>
      <c r="AB291" s="279">
        <v>44850</v>
      </c>
      <c r="AC291" s="6">
        <v>0</v>
      </c>
      <c r="AD291">
        <f t="shared" si="12"/>
        <v>200</v>
      </c>
    </row>
    <row r="292" spans="27:30" x14ac:dyDescent="0.25">
      <c r="AA292">
        <f t="shared" si="11"/>
        <v>201</v>
      </c>
      <c r="AB292" s="279">
        <v>44851</v>
      </c>
      <c r="AC292" s="6">
        <v>1</v>
      </c>
      <c r="AD292">
        <f t="shared" si="12"/>
        <v>201</v>
      </c>
    </row>
    <row r="293" spans="27:30" x14ac:dyDescent="0.25">
      <c r="AA293">
        <f t="shared" si="11"/>
        <v>202</v>
      </c>
      <c r="AB293" s="279">
        <v>44852</v>
      </c>
      <c r="AC293" s="6">
        <v>1</v>
      </c>
      <c r="AD293">
        <f t="shared" si="12"/>
        <v>202</v>
      </c>
    </row>
    <row r="294" spans="27:30" x14ac:dyDescent="0.25">
      <c r="AA294">
        <f t="shared" si="11"/>
        <v>203</v>
      </c>
      <c r="AB294" s="279">
        <v>44853</v>
      </c>
      <c r="AC294" s="6">
        <v>1</v>
      </c>
      <c r="AD294">
        <f t="shared" si="12"/>
        <v>203</v>
      </c>
    </row>
    <row r="295" spans="27:30" x14ac:dyDescent="0.25">
      <c r="AA295">
        <f t="shared" si="11"/>
        <v>204</v>
      </c>
      <c r="AB295" s="279">
        <v>44854</v>
      </c>
      <c r="AC295" s="6">
        <v>1</v>
      </c>
      <c r="AD295">
        <f t="shared" si="12"/>
        <v>204</v>
      </c>
    </row>
    <row r="296" spans="27:30" x14ac:dyDescent="0.25">
      <c r="AA296">
        <f t="shared" si="11"/>
        <v>205</v>
      </c>
      <c r="AB296" s="279">
        <v>44855</v>
      </c>
      <c r="AC296" s="6">
        <v>1</v>
      </c>
      <c r="AD296">
        <f t="shared" si="12"/>
        <v>205</v>
      </c>
    </row>
    <row r="297" spans="27:30" x14ac:dyDescent="0.25">
      <c r="AA297">
        <f t="shared" si="11"/>
        <v>205</v>
      </c>
      <c r="AB297" s="279">
        <v>44856</v>
      </c>
      <c r="AC297" s="6">
        <v>0</v>
      </c>
      <c r="AD297">
        <f t="shared" si="12"/>
        <v>205</v>
      </c>
    </row>
    <row r="298" spans="27:30" x14ac:dyDescent="0.25">
      <c r="AA298">
        <f t="shared" si="11"/>
        <v>205</v>
      </c>
      <c r="AB298" s="279">
        <v>44857</v>
      </c>
      <c r="AC298" s="6">
        <v>0</v>
      </c>
      <c r="AD298">
        <f t="shared" si="12"/>
        <v>205</v>
      </c>
    </row>
    <row r="299" spans="27:30" x14ac:dyDescent="0.25">
      <c r="AA299">
        <f t="shared" si="11"/>
        <v>206</v>
      </c>
      <c r="AB299" s="279">
        <v>44858</v>
      </c>
      <c r="AC299" s="6">
        <v>1</v>
      </c>
      <c r="AD299">
        <f t="shared" si="12"/>
        <v>206</v>
      </c>
    </row>
    <row r="300" spans="27:30" x14ac:dyDescent="0.25">
      <c r="AA300">
        <f t="shared" si="11"/>
        <v>207</v>
      </c>
      <c r="AB300" s="279">
        <v>44859</v>
      </c>
      <c r="AC300" s="6">
        <v>1</v>
      </c>
      <c r="AD300">
        <f t="shared" si="12"/>
        <v>207</v>
      </c>
    </row>
    <row r="301" spans="27:30" x14ac:dyDescent="0.25">
      <c r="AA301">
        <f t="shared" si="11"/>
        <v>208</v>
      </c>
      <c r="AB301" s="279">
        <v>44860</v>
      </c>
      <c r="AC301" s="6">
        <v>1</v>
      </c>
      <c r="AD301">
        <f t="shared" si="12"/>
        <v>208</v>
      </c>
    </row>
    <row r="302" spans="27:30" x14ac:dyDescent="0.25">
      <c r="AA302">
        <f t="shared" si="11"/>
        <v>209</v>
      </c>
      <c r="AB302" s="279">
        <v>44861</v>
      </c>
      <c r="AC302" s="6">
        <v>1</v>
      </c>
      <c r="AD302">
        <f t="shared" si="12"/>
        <v>209</v>
      </c>
    </row>
    <row r="303" spans="27:30" x14ac:dyDescent="0.25">
      <c r="AA303">
        <f t="shared" si="11"/>
        <v>209</v>
      </c>
      <c r="AB303" s="279">
        <v>44862</v>
      </c>
      <c r="AC303" s="6">
        <v>0</v>
      </c>
      <c r="AD303">
        <f t="shared" si="12"/>
        <v>209</v>
      </c>
    </row>
    <row r="304" spans="27:30" x14ac:dyDescent="0.25">
      <c r="AA304">
        <f t="shared" si="11"/>
        <v>209</v>
      </c>
      <c r="AB304" s="279">
        <v>44863</v>
      </c>
      <c r="AC304" s="6">
        <v>0</v>
      </c>
      <c r="AD304">
        <f t="shared" si="12"/>
        <v>209</v>
      </c>
    </row>
    <row r="305" spans="27:30" x14ac:dyDescent="0.25">
      <c r="AA305">
        <f t="shared" si="11"/>
        <v>209</v>
      </c>
      <c r="AB305" s="279">
        <v>44864</v>
      </c>
      <c r="AC305" s="6">
        <v>0</v>
      </c>
      <c r="AD305">
        <f t="shared" si="12"/>
        <v>209</v>
      </c>
    </row>
    <row r="306" spans="27:30" x14ac:dyDescent="0.25">
      <c r="AA306">
        <f t="shared" si="11"/>
        <v>210</v>
      </c>
      <c r="AB306" s="279">
        <v>44865</v>
      </c>
      <c r="AC306" s="6">
        <v>1</v>
      </c>
      <c r="AD306">
        <f t="shared" si="12"/>
        <v>210</v>
      </c>
    </row>
    <row r="307" spans="27:30" x14ac:dyDescent="0.25">
      <c r="AA307">
        <f t="shared" si="11"/>
        <v>211</v>
      </c>
      <c r="AB307" s="279">
        <v>44866</v>
      </c>
      <c r="AC307" s="6">
        <v>1</v>
      </c>
      <c r="AD307">
        <f t="shared" si="12"/>
        <v>211</v>
      </c>
    </row>
    <row r="308" spans="27:30" x14ac:dyDescent="0.25">
      <c r="AA308">
        <f t="shared" si="11"/>
        <v>212</v>
      </c>
      <c r="AB308" s="279">
        <v>44867</v>
      </c>
      <c r="AC308" s="6">
        <v>1</v>
      </c>
      <c r="AD308">
        <f t="shared" si="12"/>
        <v>212</v>
      </c>
    </row>
    <row r="309" spans="27:30" x14ac:dyDescent="0.25">
      <c r="AA309">
        <f t="shared" si="11"/>
        <v>213</v>
      </c>
      <c r="AB309" s="279">
        <v>44868</v>
      </c>
      <c r="AC309" s="6">
        <v>1</v>
      </c>
      <c r="AD309">
        <f t="shared" si="12"/>
        <v>213</v>
      </c>
    </row>
    <row r="310" spans="27:30" x14ac:dyDescent="0.25">
      <c r="AA310">
        <f t="shared" si="11"/>
        <v>214</v>
      </c>
      <c r="AB310" s="279">
        <v>44869</v>
      </c>
      <c r="AC310" s="6">
        <v>1</v>
      </c>
      <c r="AD310">
        <f t="shared" si="12"/>
        <v>214</v>
      </c>
    </row>
    <row r="311" spans="27:30" x14ac:dyDescent="0.25">
      <c r="AA311">
        <f t="shared" si="11"/>
        <v>214</v>
      </c>
      <c r="AB311" s="279">
        <v>44870</v>
      </c>
      <c r="AC311" s="6">
        <v>0</v>
      </c>
      <c r="AD311">
        <f t="shared" si="12"/>
        <v>214</v>
      </c>
    </row>
    <row r="312" spans="27:30" x14ac:dyDescent="0.25">
      <c r="AA312">
        <f t="shared" si="11"/>
        <v>214</v>
      </c>
      <c r="AB312" s="279">
        <v>44871</v>
      </c>
      <c r="AC312" s="6">
        <v>0</v>
      </c>
      <c r="AD312">
        <f t="shared" si="12"/>
        <v>214</v>
      </c>
    </row>
    <row r="313" spans="27:30" x14ac:dyDescent="0.25">
      <c r="AA313">
        <f t="shared" si="11"/>
        <v>215</v>
      </c>
      <c r="AB313" s="279">
        <v>44872</v>
      </c>
      <c r="AC313" s="6">
        <v>1</v>
      </c>
      <c r="AD313">
        <f t="shared" si="12"/>
        <v>215</v>
      </c>
    </row>
    <row r="314" spans="27:30" x14ac:dyDescent="0.25">
      <c r="AA314">
        <f t="shared" si="11"/>
        <v>216</v>
      </c>
      <c r="AB314" s="279">
        <v>44873</v>
      </c>
      <c r="AC314" s="6">
        <v>1</v>
      </c>
      <c r="AD314">
        <f t="shared" si="12"/>
        <v>216</v>
      </c>
    </row>
    <row r="315" spans="27:30" x14ac:dyDescent="0.25">
      <c r="AA315">
        <f t="shared" si="11"/>
        <v>217</v>
      </c>
      <c r="AB315" s="279">
        <v>44874</v>
      </c>
      <c r="AC315" s="6">
        <v>1</v>
      </c>
      <c r="AD315">
        <f t="shared" si="12"/>
        <v>217</v>
      </c>
    </row>
    <row r="316" spans="27:30" x14ac:dyDescent="0.25">
      <c r="AA316">
        <f t="shared" si="11"/>
        <v>218</v>
      </c>
      <c r="AB316" s="279">
        <v>44875</v>
      </c>
      <c r="AC316" s="6">
        <v>1</v>
      </c>
      <c r="AD316">
        <f t="shared" si="12"/>
        <v>218</v>
      </c>
    </row>
    <row r="317" spans="27:30" x14ac:dyDescent="0.25">
      <c r="AA317">
        <f t="shared" si="11"/>
        <v>219</v>
      </c>
      <c r="AB317" s="279">
        <v>44876</v>
      </c>
      <c r="AC317" s="6">
        <v>1</v>
      </c>
      <c r="AD317">
        <f t="shared" si="12"/>
        <v>219</v>
      </c>
    </row>
    <row r="318" spans="27:30" x14ac:dyDescent="0.25">
      <c r="AA318">
        <f t="shared" si="11"/>
        <v>219</v>
      </c>
      <c r="AB318" s="279">
        <v>44877</v>
      </c>
      <c r="AC318" s="6">
        <v>0</v>
      </c>
      <c r="AD318">
        <f t="shared" si="12"/>
        <v>219</v>
      </c>
    </row>
    <row r="319" spans="27:30" x14ac:dyDescent="0.25">
      <c r="AA319">
        <f t="shared" si="11"/>
        <v>219</v>
      </c>
      <c r="AB319" s="279">
        <v>44878</v>
      </c>
      <c r="AC319" s="6">
        <v>0</v>
      </c>
      <c r="AD319">
        <f t="shared" si="12"/>
        <v>219</v>
      </c>
    </row>
    <row r="320" spans="27:30" x14ac:dyDescent="0.25">
      <c r="AA320">
        <f t="shared" si="11"/>
        <v>220</v>
      </c>
      <c r="AB320" s="279">
        <v>44879</v>
      </c>
      <c r="AC320" s="6">
        <v>1</v>
      </c>
      <c r="AD320">
        <f t="shared" si="12"/>
        <v>220</v>
      </c>
    </row>
    <row r="321" spans="27:30" x14ac:dyDescent="0.25">
      <c r="AA321">
        <f t="shared" si="11"/>
        <v>221</v>
      </c>
      <c r="AB321" s="279">
        <v>44880</v>
      </c>
      <c r="AC321" s="6">
        <v>1</v>
      </c>
      <c r="AD321">
        <f t="shared" si="12"/>
        <v>221</v>
      </c>
    </row>
    <row r="322" spans="27:30" x14ac:dyDescent="0.25">
      <c r="AA322">
        <f t="shared" si="11"/>
        <v>222</v>
      </c>
      <c r="AB322" s="279">
        <v>44881</v>
      </c>
      <c r="AC322" s="6">
        <v>1</v>
      </c>
      <c r="AD322">
        <f t="shared" si="12"/>
        <v>222</v>
      </c>
    </row>
    <row r="323" spans="27:30" x14ac:dyDescent="0.25">
      <c r="AA323">
        <f t="shared" si="11"/>
        <v>222</v>
      </c>
      <c r="AB323" s="279">
        <v>44882</v>
      </c>
      <c r="AC323" s="6">
        <v>0</v>
      </c>
      <c r="AD323">
        <f t="shared" si="12"/>
        <v>222</v>
      </c>
    </row>
    <row r="324" spans="27:30" x14ac:dyDescent="0.25">
      <c r="AA324">
        <f t="shared" ref="AA324:AA387" si="13">AA323+AC324</f>
        <v>223</v>
      </c>
      <c r="AB324" s="279">
        <v>44883</v>
      </c>
      <c r="AC324" s="6">
        <v>1</v>
      </c>
      <c r="AD324">
        <f t="shared" si="12"/>
        <v>223</v>
      </c>
    </row>
    <row r="325" spans="27:30" x14ac:dyDescent="0.25">
      <c r="AA325">
        <f t="shared" si="13"/>
        <v>223</v>
      </c>
      <c r="AB325" s="279">
        <v>44884</v>
      </c>
      <c r="AC325" s="6">
        <v>0</v>
      </c>
      <c r="AD325">
        <f t="shared" ref="AD325:AD388" si="14">AA324+AC325</f>
        <v>223</v>
      </c>
    </row>
    <row r="326" spans="27:30" x14ac:dyDescent="0.25">
      <c r="AA326">
        <f t="shared" si="13"/>
        <v>223</v>
      </c>
      <c r="AB326" s="279">
        <v>44885</v>
      </c>
      <c r="AC326" s="6">
        <v>0</v>
      </c>
      <c r="AD326">
        <f t="shared" si="14"/>
        <v>223</v>
      </c>
    </row>
    <row r="327" spans="27:30" x14ac:dyDescent="0.25">
      <c r="AA327">
        <f t="shared" si="13"/>
        <v>224</v>
      </c>
      <c r="AB327" s="279">
        <v>44886</v>
      </c>
      <c r="AC327" s="6">
        <v>1</v>
      </c>
      <c r="AD327">
        <f t="shared" si="14"/>
        <v>224</v>
      </c>
    </row>
    <row r="328" spans="27:30" x14ac:dyDescent="0.25">
      <c r="AA328">
        <f t="shared" si="13"/>
        <v>225</v>
      </c>
      <c r="AB328" s="279">
        <v>44887</v>
      </c>
      <c r="AC328" s="6">
        <v>1</v>
      </c>
      <c r="AD328">
        <f t="shared" si="14"/>
        <v>225</v>
      </c>
    </row>
    <row r="329" spans="27:30" x14ac:dyDescent="0.25">
      <c r="AA329">
        <f t="shared" si="13"/>
        <v>226</v>
      </c>
      <c r="AB329" s="279">
        <v>44888</v>
      </c>
      <c r="AC329" s="6">
        <v>1</v>
      </c>
      <c r="AD329">
        <f t="shared" si="14"/>
        <v>226</v>
      </c>
    </row>
    <row r="330" spans="27:30" x14ac:dyDescent="0.25">
      <c r="AA330">
        <f t="shared" si="13"/>
        <v>227</v>
      </c>
      <c r="AB330" s="279">
        <v>44889</v>
      </c>
      <c r="AC330" s="6">
        <v>1</v>
      </c>
      <c r="AD330">
        <f t="shared" si="14"/>
        <v>227</v>
      </c>
    </row>
    <row r="331" spans="27:30" x14ac:dyDescent="0.25">
      <c r="AA331">
        <f t="shared" si="13"/>
        <v>228</v>
      </c>
      <c r="AB331" s="279">
        <v>44890</v>
      </c>
      <c r="AC331" s="6">
        <v>1</v>
      </c>
      <c r="AD331">
        <f t="shared" si="14"/>
        <v>228</v>
      </c>
    </row>
    <row r="332" spans="27:30" x14ac:dyDescent="0.25">
      <c r="AA332">
        <f t="shared" si="13"/>
        <v>228</v>
      </c>
      <c r="AB332" s="279">
        <v>44891</v>
      </c>
      <c r="AC332" s="6">
        <v>0</v>
      </c>
      <c r="AD332">
        <f t="shared" si="14"/>
        <v>228</v>
      </c>
    </row>
    <row r="333" spans="27:30" x14ac:dyDescent="0.25">
      <c r="AA333">
        <f t="shared" si="13"/>
        <v>228</v>
      </c>
      <c r="AB333" s="279">
        <v>44892</v>
      </c>
      <c r="AC333" s="6">
        <v>0</v>
      </c>
      <c r="AD333">
        <f t="shared" si="14"/>
        <v>228</v>
      </c>
    </row>
    <row r="334" spans="27:30" x14ac:dyDescent="0.25">
      <c r="AA334">
        <f t="shared" si="13"/>
        <v>229</v>
      </c>
      <c r="AB334" s="279">
        <v>44893</v>
      </c>
      <c r="AC334" s="6">
        <v>1</v>
      </c>
      <c r="AD334">
        <f t="shared" si="14"/>
        <v>229</v>
      </c>
    </row>
    <row r="335" spans="27:30" x14ac:dyDescent="0.25">
      <c r="AA335">
        <f t="shared" si="13"/>
        <v>230</v>
      </c>
      <c r="AB335" s="279">
        <v>44894</v>
      </c>
      <c r="AC335" s="6">
        <v>1</v>
      </c>
      <c r="AD335">
        <f t="shared" si="14"/>
        <v>230</v>
      </c>
    </row>
    <row r="336" spans="27:30" x14ac:dyDescent="0.25">
      <c r="AA336">
        <f t="shared" si="13"/>
        <v>231</v>
      </c>
      <c r="AB336" s="279">
        <v>44895</v>
      </c>
      <c r="AC336" s="6">
        <v>1</v>
      </c>
      <c r="AD336">
        <f t="shared" si="14"/>
        <v>231</v>
      </c>
    </row>
    <row r="337" spans="27:30" x14ac:dyDescent="0.25">
      <c r="AA337">
        <f t="shared" si="13"/>
        <v>232</v>
      </c>
      <c r="AB337" s="279">
        <v>44896</v>
      </c>
      <c r="AC337" s="6">
        <v>1</v>
      </c>
      <c r="AD337">
        <f t="shared" si="14"/>
        <v>232</v>
      </c>
    </row>
    <row r="338" spans="27:30" x14ac:dyDescent="0.25">
      <c r="AA338">
        <f t="shared" si="13"/>
        <v>233</v>
      </c>
      <c r="AB338" s="279">
        <v>44897</v>
      </c>
      <c r="AC338" s="6">
        <v>1</v>
      </c>
      <c r="AD338">
        <f t="shared" si="14"/>
        <v>233</v>
      </c>
    </row>
    <row r="339" spans="27:30" x14ac:dyDescent="0.25">
      <c r="AA339">
        <f t="shared" si="13"/>
        <v>233</v>
      </c>
      <c r="AB339" s="279">
        <v>44898</v>
      </c>
      <c r="AC339" s="6">
        <v>0</v>
      </c>
      <c r="AD339">
        <f t="shared" si="14"/>
        <v>233</v>
      </c>
    </row>
    <row r="340" spans="27:30" x14ac:dyDescent="0.25">
      <c r="AA340">
        <f t="shared" si="13"/>
        <v>233</v>
      </c>
      <c r="AB340" s="279">
        <v>44899</v>
      </c>
      <c r="AC340" s="6">
        <v>0</v>
      </c>
      <c r="AD340">
        <f t="shared" si="14"/>
        <v>233</v>
      </c>
    </row>
    <row r="341" spans="27:30" x14ac:dyDescent="0.25">
      <c r="AA341">
        <f t="shared" si="13"/>
        <v>234</v>
      </c>
      <c r="AB341" s="279">
        <v>44900</v>
      </c>
      <c r="AC341" s="6">
        <v>1</v>
      </c>
      <c r="AD341">
        <f t="shared" si="14"/>
        <v>234</v>
      </c>
    </row>
    <row r="342" spans="27:30" x14ac:dyDescent="0.25">
      <c r="AA342">
        <f t="shared" si="13"/>
        <v>235</v>
      </c>
      <c r="AB342" s="279">
        <v>44901</v>
      </c>
      <c r="AC342" s="6">
        <v>1</v>
      </c>
      <c r="AD342">
        <f t="shared" si="14"/>
        <v>235</v>
      </c>
    </row>
    <row r="343" spans="27:30" x14ac:dyDescent="0.25">
      <c r="AA343">
        <f t="shared" si="13"/>
        <v>236</v>
      </c>
      <c r="AB343" s="279">
        <v>44902</v>
      </c>
      <c r="AC343" s="6">
        <v>1</v>
      </c>
      <c r="AD343">
        <f t="shared" si="14"/>
        <v>236</v>
      </c>
    </row>
    <row r="344" spans="27:30" x14ac:dyDescent="0.25">
      <c r="AA344">
        <f t="shared" si="13"/>
        <v>237</v>
      </c>
      <c r="AB344" s="279">
        <v>44903</v>
      </c>
      <c r="AC344" s="6">
        <v>1</v>
      </c>
      <c r="AD344">
        <f t="shared" si="14"/>
        <v>237</v>
      </c>
    </row>
    <row r="345" spans="27:30" x14ac:dyDescent="0.25">
      <c r="AA345">
        <f t="shared" si="13"/>
        <v>238</v>
      </c>
      <c r="AB345" s="279">
        <v>44904</v>
      </c>
      <c r="AC345" s="6">
        <v>1</v>
      </c>
      <c r="AD345">
        <f t="shared" si="14"/>
        <v>238</v>
      </c>
    </row>
    <row r="346" spans="27:30" x14ac:dyDescent="0.25">
      <c r="AA346">
        <f t="shared" si="13"/>
        <v>238</v>
      </c>
      <c r="AB346" s="279">
        <v>44905</v>
      </c>
      <c r="AC346" s="6">
        <v>0</v>
      </c>
      <c r="AD346">
        <f t="shared" si="14"/>
        <v>238</v>
      </c>
    </row>
    <row r="347" spans="27:30" x14ac:dyDescent="0.25">
      <c r="AA347">
        <f t="shared" si="13"/>
        <v>238</v>
      </c>
      <c r="AB347" s="279">
        <v>44906</v>
      </c>
      <c r="AC347" s="6">
        <v>0</v>
      </c>
      <c r="AD347">
        <f t="shared" si="14"/>
        <v>238</v>
      </c>
    </row>
    <row r="348" spans="27:30" x14ac:dyDescent="0.25">
      <c r="AA348">
        <f t="shared" si="13"/>
        <v>239</v>
      </c>
      <c r="AB348" s="279">
        <v>44907</v>
      </c>
      <c r="AC348" s="6">
        <v>1</v>
      </c>
      <c r="AD348">
        <f t="shared" si="14"/>
        <v>239</v>
      </c>
    </row>
    <row r="349" spans="27:30" x14ac:dyDescent="0.25">
      <c r="AA349">
        <f t="shared" si="13"/>
        <v>240</v>
      </c>
      <c r="AB349" s="279">
        <v>44908</v>
      </c>
      <c r="AC349" s="6">
        <v>1</v>
      </c>
      <c r="AD349">
        <f t="shared" si="14"/>
        <v>240</v>
      </c>
    </row>
    <row r="350" spans="27:30" x14ac:dyDescent="0.25">
      <c r="AA350">
        <f t="shared" si="13"/>
        <v>241</v>
      </c>
      <c r="AB350" s="279">
        <v>44909</v>
      </c>
      <c r="AC350" s="6">
        <v>1</v>
      </c>
      <c r="AD350">
        <f t="shared" si="14"/>
        <v>241</v>
      </c>
    </row>
    <row r="351" spans="27:30" x14ac:dyDescent="0.25">
      <c r="AA351">
        <f t="shared" si="13"/>
        <v>242</v>
      </c>
      <c r="AB351" s="279">
        <v>44910</v>
      </c>
      <c r="AC351" s="6">
        <v>1</v>
      </c>
      <c r="AD351">
        <f t="shared" si="14"/>
        <v>242</v>
      </c>
    </row>
    <row r="352" spans="27:30" x14ac:dyDescent="0.25">
      <c r="AA352">
        <f t="shared" si="13"/>
        <v>243</v>
      </c>
      <c r="AB352" s="279">
        <v>44911</v>
      </c>
      <c r="AC352" s="6">
        <v>1</v>
      </c>
      <c r="AD352">
        <f t="shared" si="14"/>
        <v>243</v>
      </c>
    </row>
    <row r="353" spans="27:30" x14ac:dyDescent="0.25">
      <c r="AA353">
        <f t="shared" si="13"/>
        <v>243</v>
      </c>
      <c r="AB353" s="279">
        <v>44912</v>
      </c>
      <c r="AC353" s="6">
        <v>0</v>
      </c>
      <c r="AD353">
        <f t="shared" si="14"/>
        <v>243</v>
      </c>
    </row>
    <row r="354" spans="27:30" x14ac:dyDescent="0.25">
      <c r="AA354">
        <f t="shared" si="13"/>
        <v>243</v>
      </c>
      <c r="AB354" s="279">
        <v>44913</v>
      </c>
      <c r="AC354" s="6">
        <v>0</v>
      </c>
      <c r="AD354">
        <f t="shared" si="14"/>
        <v>243</v>
      </c>
    </row>
    <row r="355" spans="27:30" x14ac:dyDescent="0.25">
      <c r="AA355">
        <f t="shared" si="13"/>
        <v>244</v>
      </c>
      <c r="AB355" s="279">
        <v>44914</v>
      </c>
      <c r="AC355" s="6">
        <v>1</v>
      </c>
      <c r="AD355">
        <f t="shared" si="14"/>
        <v>244</v>
      </c>
    </row>
    <row r="356" spans="27:30" x14ac:dyDescent="0.25">
      <c r="AA356">
        <f t="shared" si="13"/>
        <v>245</v>
      </c>
      <c r="AB356" s="279">
        <v>44915</v>
      </c>
      <c r="AC356" s="6">
        <v>1</v>
      </c>
      <c r="AD356">
        <f t="shared" si="14"/>
        <v>245</v>
      </c>
    </row>
    <row r="357" spans="27:30" x14ac:dyDescent="0.25">
      <c r="AA357">
        <f t="shared" si="13"/>
        <v>246</v>
      </c>
      <c r="AB357" s="279">
        <v>44916</v>
      </c>
      <c r="AC357" s="6">
        <v>1</v>
      </c>
      <c r="AD357">
        <f t="shared" si="14"/>
        <v>246</v>
      </c>
    </row>
    <row r="358" spans="27:30" x14ac:dyDescent="0.25">
      <c r="AA358">
        <f t="shared" si="13"/>
        <v>247</v>
      </c>
      <c r="AB358" s="279">
        <v>44917</v>
      </c>
      <c r="AC358" s="6">
        <v>1</v>
      </c>
      <c r="AD358">
        <f t="shared" si="14"/>
        <v>247</v>
      </c>
    </row>
    <row r="359" spans="27:30" x14ac:dyDescent="0.25">
      <c r="AA359">
        <f t="shared" si="13"/>
        <v>248</v>
      </c>
      <c r="AB359" s="279">
        <v>44918</v>
      </c>
      <c r="AC359" s="6">
        <v>1</v>
      </c>
      <c r="AD359">
        <f t="shared" si="14"/>
        <v>248</v>
      </c>
    </row>
    <row r="360" spans="27:30" x14ac:dyDescent="0.25">
      <c r="AA360">
        <f t="shared" si="13"/>
        <v>248</v>
      </c>
      <c r="AB360" s="279">
        <v>44919</v>
      </c>
      <c r="AC360" s="6">
        <v>0</v>
      </c>
      <c r="AD360">
        <f t="shared" si="14"/>
        <v>248</v>
      </c>
    </row>
    <row r="361" spans="27:30" x14ac:dyDescent="0.25">
      <c r="AA361">
        <f t="shared" si="13"/>
        <v>248</v>
      </c>
      <c r="AB361" s="279">
        <v>44920</v>
      </c>
      <c r="AC361" s="6">
        <v>0</v>
      </c>
      <c r="AD361">
        <f t="shared" si="14"/>
        <v>248</v>
      </c>
    </row>
    <row r="362" spans="27:30" x14ac:dyDescent="0.25">
      <c r="AA362">
        <f t="shared" si="13"/>
        <v>248</v>
      </c>
      <c r="AB362" s="279">
        <v>44921</v>
      </c>
      <c r="AC362" s="6">
        <v>0</v>
      </c>
      <c r="AD362">
        <f t="shared" si="14"/>
        <v>248</v>
      </c>
    </row>
    <row r="363" spans="27:30" x14ac:dyDescent="0.25">
      <c r="AA363">
        <f t="shared" si="13"/>
        <v>249</v>
      </c>
      <c r="AB363" s="279">
        <v>44922</v>
      </c>
      <c r="AC363" s="6">
        <v>1</v>
      </c>
      <c r="AD363">
        <f t="shared" si="14"/>
        <v>249</v>
      </c>
    </row>
    <row r="364" spans="27:30" x14ac:dyDescent="0.25">
      <c r="AA364">
        <f t="shared" si="13"/>
        <v>250</v>
      </c>
      <c r="AB364" s="279">
        <v>44923</v>
      </c>
      <c r="AC364" s="6">
        <v>1</v>
      </c>
      <c r="AD364">
        <f t="shared" si="14"/>
        <v>250</v>
      </c>
    </row>
    <row r="365" spans="27:30" x14ac:dyDescent="0.25">
      <c r="AA365">
        <f t="shared" si="13"/>
        <v>251</v>
      </c>
      <c r="AB365" s="279">
        <v>44924</v>
      </c>
      <c r="AC365" s="6">
        <v>1</v>
      </c>
      <c r="AD365">
        <f t="shared" si="14"/>
        <v>251</v>
      </c>
    </row>
    <row r="366" spans="27:30" x14ac:dyDescent="0.25">
      <c r="AA366">
        <f t="shared" si="13"/>
        <v>252</v>
      </c>
      <c r="AB366" s="279">
        <v>44925</v>
      </c>
      <c r="AC366" s="6">
        <v>1</v>
      </c>
      <c r="AD366">
        <f t="shared" si="14"/>
        <v>252</v>
      </c>
    </row>
    <row r="367" spans="27:30" x14ac:dyDescent="0.25">
      <c r="AA367">
        <f t="shared" si="13"/>
        <v>252</v>
      </c>
      <c r="AB367" s="279">
        <v>44926</v>
      </c>
      <c r="AC367" s="6">
        <v>0</v>
      </c>
      <c r="AD367">
        <f t="shared" si="14"/>
        <v>252</v>
      </c>
    </row>
    <row r="368" spans="27:30" x14ac:dyDescent="0.25">
      <c r="AA368">
        <f t="shared" si="13"/>
        <v>252</v>
      </c>
      <c r="AB368" s="279">
        <v>44927</v>
      </c>
      <c r="AC368" s="6">
        <v>0</v>
      </c>
      <c r="AD368">
        <f t="shared" si="14"/>
        <v>252</v>
      </c>
    </row>
    <row r="369" spans="27:30" x14ac:dyDescent="0.25">
      <c r="AA369">
        <f t="shared" si="13"/>
        <v>253</v>
      </c>
      <c r="AB369" s="279">
        <v>44928</v>
      </c>
      <c r="AC369" s="6">
        <v>1</v>
      </c>
      <c r="AD369">
        <f t="shared" si="14"/>
        <v>253</v>
      </c>
    </row>
    <row r="370" spans="27:30" x14ac:dyDescent="0.25">
      <c r="AA370">
        <f t="shared" si="13"/>
        <v>254</v>
      </c>
      <c r="AB370" s="279">
        <v>44929</v>
      </c>
      <c r="AC370" s="6">
        <v>1</v>
      </c>
      <c r="AD370">
        <f t="shared" si="14"/>
        <v>254</v>
      </c>
    </row>
    <row r="371" spans="27:30" x14ac:dyDescent="0.25">
      <c r="AA371">
        <f t="shared" si="13"/>
        <v>255</v>
      </c>
      <c r="AB371" s="279">
        <v>44930</v>
      </c>
      <c r="AC371" s="6">
        <v>1</v>
      </c>
      <c r="AD371">
        <f t="shared" si="14"/>
        <v>255</v>
      </c>
    </row>
    <row r="372" spans="27:30" x14ac:dyDescent="0.25">
      <c r="AA372">
        <f t="shared" si="13"/>
        <v>256</v>
      </c>
      <c r="AB372" s="279">
        <v>44931</v>
      </c>
      <c r="AC372" s="6">
        <v>1</v>
      </c>
      <c r="AD372">
        <f t="shared" si="14"/>
        <v>256</v>
      </c>
    </row>
    <row r="373" spans="27:30" x14ac:dyDescent="0.25">
      <c r="AA373">
        <f t="shared" si="13"/>
        <v>257</v>
      </c>
      <c r="AB373" s="279">
        <v>44932</v>
      </c>
      <c r="AC373" s="6">
        <v>1</v>
      </c>
      <c r="AD373">
        <f t="shared" si="14"/>
        <v>257</v>
      </c>
    </row>
    <row r="374" spans="27:30" x14ac:dyDescent="0.25">
      <c r="AA374">
        <f t="shared" si="13"/>
        <v>257</v>
      </c>
      <c r="AB374" s="279">
        <v>44933</v>
      </c>
      <c r="AC374" s="6">
        <v>0</v>
      </c>
      <c r="AD374">
        <f t="shared" si="14"/>
        <v>257</v>
      </c>
    </row>
    <row r="375" spans="27:30" x14ac:dyDescent="0.25">
      <c r="AA375">
        <f t="shared" si="13"/>
        <v>257</v>
      </c>
      <c r="AB375" s="279">
        <v>44934</v>
      </c>
      <c r="AC375" s="6">
        <v>0</v>
      </c>
      <c r="AD375">
        <f t="shared" si="14"/>
        <v>257</v>
      </c>
    </row>
    <row r="376" spans="27:30" x14ac:dyDescent="0.25">
      <c r="AA376">
        <f t="shared" si="13"/>
        <v>258</v>
      </c>
      <c r="AB376" s="279">
        <v>44935</v>
      </c>
      <c r="AC376" s="6">
        <v>1</v>
      </c>
      <c r="AD376">
        <f t="shared" si="14"/>
        <v>258</v>
      </c>
    </row>
    <row r="377" spans="27:30" x14ac:dyDescent="0.25">
      <c r="AA377">
        <f t="shared" si="13"/>
        <v>259</v>
      </c>
      <c r="AB377" s="279">
        <v>44936</v>
      </c>
      <c r="AC377" s="6">
        <v>1</v>
      </c>
      <c r="AD377">
        <f t="shared" si="14"/>
        <v>259</v>
      </c>
    </row>
    <row r="378" spans="27:30" x14ac:dyDescent="0.25">
      <c r="AA378">
        <f t="shared" si="13"/>
        <v>260</v>
      </c>
      <c r="AB378" s="279">
        <v>44937</v>
      </c>
      <c r="AC378" s="6">
        <v>1</v>
      </c>
      <c r="AD378">
        <f t="shared" si="14"/>
        <v>260</v>
      </c>
    </row>
    <row r="379" spans="27:30" x14ac:dyDescent="0.25">
      <c r="AA379">
        <f t="shared" si="13"/>
        <v>261</v>
      </c>
      <c r="AB379" s="279">
        <v>44938</v>
      </c>
      <c r="AC379" s="6">
        <v>1</v>
      </c>
      <c r="AD379">
        <f t="shared" si="14"/>
        <v>261</v>
      </c>
    </row>
    <row r="380" spans="27:30" x14ac:dyDescent="0.25">
      <c r="AA380">
        <f t="shared" si="13"/>
        <v>262</v>
      </c>
      <c r="AB380" s="279">
        <v>44939</v>
      </c>
      <c r="AC380" s="6">
        <v>1</v>
      </c>
      <c r="AD380">
        <f t="shared" si="14"/>
        <v>262</v>
      </c>
    </row>
    <row r="381" spans="27:30" x14ac:dyDescent="0.25">
      <c r="AA381">
        <f t="shared" si="13"/>
        <v>262</v>
      </c>
      <c r="AB381" s="279">
        <v>44940</v>
      </c>
      <c r="AC381" s="6">
        <v>0</v>
      </c>
      <c r="AD381">
        <f t="shared" si="14"/>
        <v>262</v>
      </c>
    </row>
    <row r="382" spans="27:30" x14ac:dyDescent="0.25">
      <c r="AA382">
        <f t="shared" si="13"/>
        <v>262</v>
      </c>
      <c r="AB382" s="279">
        <v>44941</v>
      </c>
      <c r="AC382" s="6">
        <v>0</v>
      </c>
      <c r="AD382">
        <f t="shared" si="14"/>
        <v>262</v>
      </c>
    </row>
    <row r="383" spans="27:30" x14ac:dyDescent="0.25">
      <c r="AA383">
        <f t="shared" si="13"/>
        <v>263</v>
      </c>
      <c r="AB383" s="279">
        <v>44942</v>
      </c>
      <c r="AC383" s="6">
        <v>1</v>
      </c>
      <c r="AD383">
        <f t="shared" si="14"/>
        <v>263</v>
      </c>
    </row>
    <row r="384" spans="27:30" x14ac:dyDescent="0.25">
      <c r="AA384">
        <f t="shared" si="13"/>
        <v>264</v>
      </c>
      <c r="AB384" s="279">
        <v>44943</v>
      </c>
      <c r="AC384" s="6">
        <v>1</v>
      </c>
      <c r="AD384">
        <f t="shared" si="14"/>
        <v>264</v>
      </c>
    </row>
    <row r="385" spans="27:30" x14ac:dyDescent="0.25">
      <c r="AA385">
        <f t="shared" si="13"/>
        <v>265</v>
      </c>
      <c r="AB385" s="279">
        <v>44944</v>
      </c>
      <c r="AC385" s="6">
        <v>1</v>
      </c>
      <c r="AD385">
        <f t="shared" si="14"/>
        <v>265</v>
      </c>
    </row>
    <row r="386" spans="27:30" x14ac:dyDescent="0.25">
      <c r="AA386">
        <f t="shared" si="13"/>
        <v>266</v>
      </c>
      <c r="AB386" s="279">
        <v>44945</v>
      </c>
      <c r="AC386" s="6">
        <v>1</v>
      </c>
      <c r="AD386">
        <f t="shared" si="14"/>
        <v>266</v>
      </c>
    </row>
    <row r="387" spans="27:30" x14ac:dyDescent="0.25">
      <c r="AA387">
        <f t="shared" si="13"/>
        <v>267</v>
      </c>
      <c r="AB387" s="279">
        <v>44946</v>
      </c>
      <c r="AC387" s="6">
        <v>1</v>
      </c>
      <c r="AD387">
        <f t="shared" si="14"/>
        <v>267</v>
      </c>
    </row>
    <row r="388" spans="27:30" x14ac:dyDescent="0.25">
      <c r="AA388">
        <f t="shared" ref="AA388:AA451" si="15">AA387+AC388</f>
        <v>267</v>
      </c>
      <c r="AB388" s="279">
        <v>44947</v>
      </c>
      <c r="AC388" s="6">
        <v>0</v>
      </c>
      <c r="AD388">
        <f t="shared" si="14"/>
        <v>267</v>
      </c>
    </row>
    <row r="389" spans="27:30" x14ac:dyDescent="0.25">
      <c r="AA389">
        <f t="shared" si="15"/>
        <v>267</v>
      </c>
      <c r="AB389" s="279">
        <v>44948</v>
      </c>
      <c r="AC389" s="6">
        <v>0</v>
      </c>
      <c r="AD389">
        <f t="shared" ref="AD389:AD452" si="16">AA388+AC389</f>
        <v>267</v>
      </c>
    </row>
    <row r="390" spans="27:30" x14ac:dyDescent="0.25">
      <c r="AA390">
        <f t="shared" si="15"/>
        <v>268</v>
      </c>
      <c r="AB390" s="279">
        <v>44949</v>
      </c>
      <c r="AC390" s="6">
        <v>1</v>
      </c>
      <c r="AD390">
        <f t="shared" si="16"/>
        <v>268</v>
      </c>
    </row>
    <row r="391" spans="27:30" x14ac:dyDescent="0.25">
      <c r="AA391">
        <f t="shared" si="15"/>
        <v>269</v>
      </c>
      <c r="AB391" s="279">
        <v>44950</v>
      </c>
      <c r="AC391" s="6">
        <v>1</v>
      </c>
      <c r="AD391">
        <f t="shared" si="16"/>
        <v>269</v>
      </c>
    </row>
    <row r="392" spans="27:30" x14ac:dyDescent="0.25">
      <c r="AA392">
        <f t="shared" si="15"/>
        <v>270</v>
      </c>
      <c r="AB392" s="279">
        <v>44951</v>
      </c>
      <c r="AC392" s="6">
        <v>1</v>
      </c>
      <c r="AD392">
        <f t="shared" si="16"/>
        <v>270</v>
      </c>
    </row>
    <row r="393" spans="27:30" x14ac:dyDescent="0.25">
      <c r="AA393">
        <f t="shared" si="15"/>
        <v>271</v>
      </c>
      <c r="AB393" s="279">
        <v>44952</v>
      </c>
      <c r="AC393" s="6">
        <v>1</v>
      </c>
      <c r="AD393">
        <f t="shared" si="16"/>
        <v>271</v>
      </c>
    </row>
    <row r="394" spans="27:30" x14ac:dyDescent="0.25">
      <c r="AA394">
        <f t="shared" si="15"/>
        <v>272</v>
      </c>
      <c r="AB394" s="279">
        <v>44953</v>
      </c>
      <c r="AC394" s="6">
        <v>1</v>
      </c>
      <c r="AD394">
        <f t="shared" si="16"/>
        <v>272</v>
      </c>
    </row>
    <row r="395" spans="27:30" x14ac:dyDescent="0.25">
      <c r="AA395">
        <f t="shared" si="15"/>
        <v>272</v>
      </c>
      <c r="AB395" s="279">
        <v>44954</v>
      </c>
      <c r="AC395" s="6">
        <v>0</v>
      </c>
      <c r="AD395">
        <f t="shared" si="16"/>
        <v>272</v>
      </c>
    </row>
    <row r="396" spans="27:30" x14ac:dyDescent="0.25">
      <c r="AA396">
        <f t="shared" si="15"/>
        <v>272</v>
      </c>
      <c r="AB396" s="279">
        <v>44955</v>
      </c>
      <c r="AC396" s="6">
        <v>0</v>
      </c>
      <c r="AD396">
        <f t="shared" si="16"/>
        <v>272</v>
      </c>
    </row>
    <row r="397" spans="27:30" x14ac:dyDescent="0.25">
      <c r="AA397">
        <f t="shared" si="15"/>
        <v>273</v>
      </c>
      <c r="AB397" s="279">
        <v>44956</v>
      </c>
      <c r="AC397" s="6">
        <v>1</v>
      </c>
      <c r="AD397">
        <f t="shared" si="16"/>
        <v>273</v>
      </c>
    </row>
    <row r="398" spans="27:30" x14ac:dyDescent="0.25">
      <c r="AA398">
        <f t="shared" si="15"/>
        <v>274</v>
      </c>
      <c r="AB398" s="279">
        <v>44957</v>
      </c>
      <c r="AC398" s="6">
        <v>1</v>
      </c>
      <c r="AD398">
        <f t="shared" si="16"/>
        <v>274</v>
      </c>
    </row>
    <row r="399" spans="27:30" x14ac:dyDescent="0.25">
      <c r="AA399">
        <f t="shared" si="15"/>
        <v>275</v>
      </c>
      <c r="AB399" s="279">
        <v>44958</v>
      </c>
      <c r="AC399" s="6">
        <v>1</v>
      </c>
      <c r="AD399">
        <f t="shared" si="16"/>
        <v>275</v>
      </c>
    </row>
    <row r="400" spans="27:30" x14ac:dyDescent="0.25">
      <c r="AA400">
        <f t="shared" si="15"/>
        <v>276</v>
      </c>
      <c r="AB400" s="279">
        <v>44959</v>
      </c>
      <c r="AC400" s="6">
        <v>1</v>
      </c>
      <c r="AD400">
        <f t="shared" si="16"/>
        <v>276</v>
      </c>
    </row>
    <row r="401" spans="27:30" x14ac:dyDescent="0.25">
      <c r="AA401">
        <f t="shared" si="15"/>
        <v>277</v>
      </c>
      <c r="AB401" s="279">
        <v>44960</v>
      </c>
      <c r="AC401" s="6">
        <v>1</v>
      </c>
      <c r="AD401">
        <f t="shared" si="16"/>
        <v>277</v>
      </c>
    </row>
    <row r="402" spans="27:30" x14ac:dyDescent="0.25">
      <c r="AA402">
        <f t="shared" si="15"/>
        <v>277</v>
      </c>
      <c r="AB402" s="279">
        <v>44961</v>
      </c>
      <c r="AC402" s="6">
        <v>0</v>
      </c>
      <c r="AD402">
        <f t="shared" si="16"/>
        <v>277</v>
      </c>
    </row>
    <row r="403" spans="27:30" x14ac:dyDescent="0.25">
      <c r="AA403">
        <f t="shared" si="15"/>
        <v>277</v>
      </c>
      <c r="AB403" s="279">
        <v>44962</v>
      </c>
      <c r="AC403" s="6">
        <v>0</v>
      </c>
      <c r="AD403">
        <f t="shared" si="16"/>
        <v>277</v>
      </c>
    </row>
    <row r="404" spans="27:30" x14ac:dyDescent="0.25">
      <c r="AA404">
        <f t="shared" si="15"/>
        <v>278</v>
      </c>
      <c r="AB404" s="279">
        <v>44963</v>
      </c>
      <c r="AC404" s="6">
        <v>1</v>
      </c>
      <c r="AD404">
        <f t="shared" si="16"/>
        <v>278</v>
      </c>
    </row>
    <row r="405" spans="27:30" x14ac:dyDescent="0.25">
      <c r="AA405">
        <f t="shared" si="15"/>
        <v>279</v>
      </c>
      <c r="AB405" s="279">
        <v>44964</v>
      </c>
      <c r="AC405" s="6">
        <v>1</v>
      </c>
      <c r="AD405">
        <f t="shared" si="16"/>
        <v>279</v>
      </c>
    </row>
    <row r="406" spans="27:30" x14ac:dyDescent="0.25">
      <c r="AA406">
        <f t="shared" si="15"/>
        <v>280</v>
      </c>
      <c r="AB406" s="279">
        <v>44965</v>
      </c>
      <c r="AC406" s="6">
        <v>1</v>
      </c>
      <c r="AD406">
        <f t="shared" si="16"/>
        <v>280</v>
      </c>
    </row>
    <row r="407" spans="27:30" x14ac:dyDescent="0.25">
      <c r="AA407">
        <f t="shared" si="15"/>
        <v>281</v>
      </c>
      <c r="AB407" s="279">
        <v>44966</v>
      </c>
      <c r="AC407" s="6">
        <v>1</v>
      </c>
      <c r="AD407">
        <f t="shared" si="16"/>
        <v>281</v>
      </c>
    </row>
    <row r="408" spans="27:30" x14ac:dyDescent="0.25">
      <c r="AA408">
        <f t="shared" si="15"/>
        <v>282</v>
      </c>
      <c r="AB408" s="279">
        <v>44967</v>
      </c>
      <c r="AC408" s="6">
        <v>1</v>
      </c>
      <c r="AD408">
        <f t="shared" si="16"/>
        <v>282</v>
      </c>
    </row>
    <row r="409" spans="27:30" x14ac:dyDescent="0.25">
      <c r="AA409">
        <f t="shared" si="15"/>
        <v>282</v>
      </c>
      <c r="AB409" s="279">
        <v>44968</v>
      </c>
      <c r="AC409" s="6">
        <v>0</v>
      </c>
      <c r="AD409">
        <f t="shared" si="16"/>
        <v>282</v>
      </c>
    </row>
    <row r="410" spans="27:30" x14ac:dyDescent="0.25">
      <c r="AA410">
        <f t="shared" si="15"/>
        <v>282</v>
      </c>
      <c r="AB410" s="279">
        <v>44969</v>
      </c>
      <c r="AC410" s="6">
        <v>0</v>
      </c>
      <c r="AD410">
        <f t="shared" si="16"/>
        <v>282</v>
      </c>
    </row>
    <row r="411" spans="27:30" x14ac:dyDescent="0.25">
      <c r="AA411">
        <f t="shared" si="15"/>
        <v>283</v>
      </c>
      <c r="AB411" s="279">
        <v>44970</v>
      </c>
      <c r="AC411" s="6">
        <v>1</v>
      </c>
      <c r="AD411">
        <f t="shared" si="16"/>
        <v>283</v>
      </c>
    </row>
    <row r="412" spans="27:30" x14ac:dyDescent="0.25">
      <c r="AA412">
        <f t="shared" si="15"/>
        <v>284</v>
      </c>
      <c r="AB412" s="279">
        <v>44971</v>
      </c>
      <c r="AC412" s="6">
        <v>1</v>
      </c>
      <c r="AD412">
        <f t="shared" si="16"/>
        <v>284</v>
      </c>
    </row>
    <row r="413" spans="27:30" x14ac:dyDescent="0.25">
      <c r="AA413">
        <f t="shared" si="15"/>
        <v>285</v>
      </c>
      <c r="AB413" s="279">
        <v>44972</v>
      </c>
      <c r="AC413" s="6">
        <v>1</v>
      </c>
      <c r="AD413">
        <f t="shared" si="16"/>
        <v>285</v>
      </c>
    </row>
    <row r="414" spans="27:30" x14ac:dyDescent="0.25">
      <c r="AA414">
        <f t="shared" si="15"/>
        <v>286</v>
      </c>
      <c r="AB414" s="279">
        <v>44973</v>
      </c>
      <c r="AC414" s="6">
        <v>1</v>
      </c>
      <c r="AD414">
        <f t="shared" si="16"/>
        <v>286</v>
      </c>
    </row>
    <row r="415" spans="27:30" x14ac:dyDescent="0.25">
      <c r="AA415">
        <f t="shared" si="15"/>
        <v>287</v>
      </c>
      <c r="AB415" s="279">
        <v>44974</v>
      </c>
      <c r="AC415" s="6">
        <v>1</v>
      </c>
      <c r="AD415">
        <f t="shared" si="16"/>
        <v>287</v>
      </c>
    </row>
    <row r="416" spans="27:30" x14ac:dyDescent="0.25">
      <c r="AA416">
        <f t="shared" si="15"/>
        <v>287</v>
      </c>
      <c r="AB416" s="279">
        <v>44975</v>
      </c>
      <c r="AC416" s="6">
        <v>0</v>
      </c>
      <c r="AD416">
        <f t="shared" si="16"/>
        <v>287</v>
      </c>
    </row>
    <row r="417" spans="27:30" x14ac:dyDescent="0.25">
      <c r="AA417">
        <f t="shared" si="15"/>
        <v>287</v>
      </c>
      <c r="AB417" s="279">
        <v>44976</v>
      </c>
      <c r="AC417" s="6">
        <v>0</v>
      </c>
      <c r="AD417">
        <f t="shared" si="16"/>
        <v>287</v>
      </c>
    </row>
    <row r="418" spans="27:30" x14ac:dyDescent="0.25">
      <c r="AA418">
        <f t="shared" si="15"/>
        <v>288</v>
      </c>
      <c r="AB418" s="279">
        <v>44977</v>
      </c>
      <c r="AC418" s="6">
        <v>1</v>
      </c>
      <c r="AD418">
        <f t="shared" si="16"/>
        <v>288</v>
      </c>
    </row>
    <row r="419" spans="27:30" x14ac:dyDescent="0.25">
      <c r="AA419">
        <f t="shared" si="15"/>
        <v>289</v>
      </c>
      <c r="AB419" s="279">
        <v>44978</v>
      </c>
      <c r="AC419" s="6">
        <v>1</v>
      </c>
      <c r="AD419">
        <f t="shared" si="16"/>
        <v>289</v>
      </c>
    </row>
    <row r="420" spans="27:30" x14ac:dyDescent="0.25">
      <c r="AA420">
        <f t="shared" si="15"/>
        <v>290</v>
      </c>
      <c r="AB420" s="279">
        <v>44979</v>
      </c>
      <c r="AC420" s="6">
        <v>1</v>
      </c>
      <c r="AD420">
        <f t="shared" si="16"/>
        <v>290</v>
      </c>
    </row>
    <row r="421" spans="27:30" x14ac:dyDescent="0.25">
      <c r="AA421">
        <f t="shared" si="15"/>
        <v>291</v>
      </c>
      <c r="AB421" s="279">
        <v>44980</v>
      </c>
      <c r="AC421" s="6">
        <v>1</v>
      </c>
      <c r="AD421">
        <f t="shared" si="16"/>
        <v>291</v>
      </c>
    </row>
    <row r="422" spans="27:30" x14ac:dyDescent="0.25">
      <c r="AA422">
        <f t="shared" si="15"/>
        <v>292</v>
      </c>
      <c r="AB422" s="279">
        <v>44981</v>
      </c>
      <c r="AC422" s="6">
        <v>1</v>
      </c>
      <c r="AD422">
        <f t="shared" si="16"/>
        <v>292</v>
      </c>
    </row>
    <row r="423" spans="27:30" x14ac:dyDescent="0.25">
      <c r="AA423">
        <f t="shared" si="15"/>
        <v>292</v>
      </c>
      <c r="AB423" s="279">
        <v>44982</v>
      </c>
      <c r="AC423" s="6">
        <v>0</v>
      </c>
      <c r="AD423">
        <f t="shared" si="16"/>
        <v>292</v>
      </c>
    </row>
    <row r="424" spans="27:30" x14ac:dyDescent="0.25">
      <c r="AA424">
        <f t="shared" si="15"/>
        <v>292</v>
      </c>
      <c r="AB424" s="279">
        <v>44983</v>
      </c>
      <c r="AC424" s="6">
        <v>0</v>
      </c>
      <c r="AD424">
        <f t="shared" si="16"/>
        <v>292</v>
      </c>
    </row>
    <row r="425" spans="27:30" x14ac:dyDescent="0.25">
      <c r="AA425">
        <f t="shared" si="15"/>
        <v>293</v>
      </c>
      <c r="AB425" s="279">
        <v>44984</v>
      </c>
      <c r="AC425" s="6">
        <v>1</v>
      </c>
      <c r="AD425">
        <f t="shared" si="16"/>
        <v>293</v>
      </c>
    </row>
    <row r="426" spans="27:30" x14ac:dyDescent="0.25">
      <c r="AA426">
        <f t="shared" si="15"/>
        <v>294</v>
      </c>
      <c r="AB426" s="279">
        <v>44985</v>
      </c>
      <c r="AC426" s="6">
        <v>1</v>
      </c>
      <c r="AD426">
        <f t="shared" si="16"/>
        <v>294</v>
      </c>
    </row>
    <row r="427" spans="27:30" x14ac:dyDescent="0.25">
      <c r="AA427">
        <f t="shared" si="15"/>
        <v>295</v>
      </c>
      <c r="AB427" s="279">
        <v>44986</v>
      </c>
      <c r="AC427" s="6">
        <v>1</v>
      </c>
      <c r="AD427">
        <f t="shared" si="16"/>
        <v>295</v>
      </c>
    </row>
    <row r="428" spans="27:30" x14ac:dyDescent="0.25">
      <c r="AA428">
        <f t="shared" si="15"/>
        <v>296</v>
      </c>
      <c r="AB428" s="279">
        <v>44987</v>
      </c>
      <c r="AC428" s="6">
        <v>1</v>
      </c>
      <c r="AD428">
        <f t="shared" si="16"/>
        <v>296</v>
      </c>
    </row>
    <row r="429" spans="27:30" x14ac:dyDescent="0.25">
      <c r="AA429">
        <f t="shared" si="15"/>
        <v>297</v>
      </c>
      <c r="AB429" s="279">
        <v>44988</v>
      </c>
      <c r="AC429" s="6">
        <v>1</v>
      </c>
      <c r="AD429">
        <f t="shared" si="16"/>
        <v>297</v>
      </c>
    </row>
    <row r="430" spans="27:30" x14ac:dyDescent="0.25">
      <c r="AA430">
        <f t="shared" si="15"/>
        <v>297</v>
      </c>
      <c r="AB430" s="279">
        <v>44989</v>
      </c>
      <c r="AC430" s="6">
        <v>0</v>
      </c>
      <c r="AD430">
        <f t="shared" si="16"/>
        <v>297</v>
      </c>
    </row>
    <row r="431" spans="27:30" x14ac:dyDescent="0.25">
      <c r="AA431">
        <f t="shared" si="15"/>
        <v>297</v>
      </c>
      <c r="AB431" s="279">
        <v>44990</v>
      </c>
      <c r="AC431" s="6">
        <v>0</v>
      </c>
      <c r="AD431">
        <f t="shared" si="16"/>
        <v>297</v>
      </c>
    </row>
    <row r="432" spans="27:30" x14ac:dyDescent="0.25">
      <c r="AA432">
        <f t="shared" si="15"/>
        <v>298</v>
      </c>
      <c r="AB432" s="279">
        <v>44991</v>
      </c>
      <c r="AC432" s="6">
        <v>1</v>
      </c>
      <c r="AD432">
        <f t="shared" si="16"/>
        <v>298</v>
      </c>
    </row>
    <row r="433" spans="27:30" x14ac:dyDescent="0.25">
      <c r="AA433">
        <f t="shared" si="15"/>
        <v>299</v>
      </c>
      <c r="AB433" s="279">
        <v>44992</v>
      </c>
      <c r="AC433" s="6">
        <v>1</v>
      </c>
      <c r="AD433">
        <f t="shared" si="16"/>
        <v>299</v>
      </c>
    </row>
    <row r="434" spans="27:30" x14ac:dyDescent="0.25">
      <c r="AA434">
        <f t="shared" si="15"/>
        <v>300</v>
      </c>
      <c r="AB434" s="279">
        <v>44993</v>
      </c>
      <c r="AC434" s="6">
        <v>1</v>
      </c>
      <c r="AD434">
        <f t="shared" si="16"/>
        <v>300</v>
      </c>
    </row>
    <row r="435" spans="27:30" x14ac:dyDescent="0.25">
      <c r="AA435">
        <f t="shared" si="15"/>
        <v>301</v>
      </c>
      <c r="AB435" s="279">
        <v>44994</v>
      </c>
      <c r="AC435" s="6">
        <v>1</v>
      </c>
      <c r="AD435">
        <f t="shared" si="16"/>
        <v>301</v>
      </c>
    </row>
    <row r="436" spans="27:30" x14ac:dyDescent="0.25">
      <c r="AA436">
        <f t="shared" si="15"/>
        <v>302</v>
      </c>
      <c r="AB436" s="279">
        <v>44995</v>
      </c>
      <c r="AC436" s="6">
        <v>1</v>
      </c>
      <c r="AD436">
        <f t="shared" si="16"/>
        <v>302</v>
      </c>
    </row>
    <row r="437" spans="27:30" x14ac:dyDescent="0.25">
      <c r="AA437">
        <f t="shared" si="15"/>
        <v>302</v>
      </c>
      <c r="AB437" s="279">
        <v>44996</v>
      </c>
      <c r="AC437" s="6">
        <v>0</v>
      </c>
      <c r="AD437">
        <f t="shared" si="16"/>
        <v>302</v>
      </c>
    </row>
    <row r="438" spans="27:30" x14ac:dyDescent="0.25">
      <c r="AA438">
        <f t="shared" si="15"/>
        <v>302</v>
      </c>
      <c r="AB438" s="279">
        <v>44997</v>
      </c>
      <c r="AC438" s="6">
        <v>0</v>
      </c>
      <c r="AD438">
        <f t="shared" si="16"/>
        <v>302</v>
      </c>
    </row>
    <row r="439" spans="27:30" x14ac:dyDescent="0.25">
      <c r="AA439">
        <f t="shared" si="15"/>
        <v>303</v>
      </c>
      <c r="AB439" s="279">
        <v>44998</v>
      </c>
      <c r="AC439" s="6">
        <v>1</v>
      </c>
      <c r="AD439">
        <f t="shared" si="16"/>
        <v>303</v>
      </c>
    </row>
    <row r="440" spans="27:30" x14ac:dyDescent="0.25">
      <c r="AA440">
        <f t="shared" si="15"/>
        <v>304</v>
      </c>
      <c r="AB440" s="279">
        <v>44999</v>
      </c>
      <c r="AC440" s="6">
        <v>1</v>
      </c>
      <c r="AD440">
        <f t="shared" si="16"/>
        <v>304</v>
      </c>
    </row>
    <row r="441" spans="27:30" x14ac:dyDescent="0.25">
      <c r="AA441">
        <f t="shared" si="15"/>
        <v>305</v>
      </c>
      <c r="AB441" s="279">
        <v>45000</v>
      </c>
      <c r="AC441" s="6">
        <v>1</v>
      </c>
      <c r="AD441">
        <f t="shared" si="16"/>
        <v>305</v>
      </c>
    </row>
    <row r="442" spans="27:30" x14ac:dyDescent="0.25">
      <c r="AA442">
        <f t="shared" si="15"/>
        <v>306</v>
      </c>
      <c r="AB442" s="279">
        <v>45001</v>
      </c>
      <c r="AC442" s="6">
        <v>1</v>
      </c>
      <c r="AD442">
        <f t="shared" si="16"/>
        <v>306</v>
      </c>
    </row>
    <row r="443" spans="27:30" x14ac:dyDescent="0.25">
      <c r="AA443">
        <f t="shared" si="15"/>
        <v>307</v>
      </c>
      <c r="AB443" s="279">
        <v>45002</v>
      </c>
      <c r="AC443" s="6">
        <v>1</v>
      </c>
      <c r="AD443">
        <f t="shared" si="16"/>
        <v>307</v>
      </c>
    </row>
    <row r="444" spans="27:30" x14ac:dyDescent="0.25">
      <c r="AA444">
        <f t="shared" si="15"/>
        <v>307</v>
      </c>
      <c r="AB444" s="279">
        <v>45003</v>
      </c>
      <c r="AC444" s="6">
        <v>0</v>
      </c>
      <c r="AD444">
        <f t="shared" si="16"/>
        <v>307</v>
      </c>
    </row>
    <row r="445" spans="27:30" x14ac:dyDescent="0.25">
      <c r="AA445">
        <f t="shared" si="15"/>
        <v>307</v>
      </c>
      <c r="AB445" s="279">
        <v>45004</v>
      </c>
      <c r="AC445" s="6">
        <v>0</v>
      </c>
      <c r="AD445">
        <f t="shared" si="16"/>
        <v>307</v>
      </c>
    </row>
    <row r="446" spans="27:30" x14ac:dyDescent="0.25">
      <c r="AA446">
        <f t="shared" si="15"/>
        <v>308</v>
      </c>
      <c r="AB446" s="279">
        <v>45005</v>
      </c>
      <c r="AC446" s="6">
        <v>1</v>
      </c>
      <c r="AD446">
        <f t="shared" si="16"/>
        <v>308</v>
      </c>
    </row>
    <row r="447" spans="27:30" x14ac:dyDescent="0.25">
      <c r="AA447">
        <f t="shared" si="15"/>
        <v>309</v>
      </c>
      <c r="AB447" s="279">
        <v>45006</v>
      </c>
      <c r="AC447" s="6">
        <v>1</v>
      </c>
      <c r="AD447">
        <f t="shared" si="16"/>
        <v>309</v>
      </c>
    </row>
    <row r="448" spans="27:30" x14ac:dyDescent="0.25">
      <c r="AA448">
        <f t="shared" si="15"/>
        <v>310</v>
      </c>
      <c r="AB448" s="279">
        <v>45007</v>
      </c>
      <c r="AC448" s="6">
        <v>1</v>
      </c>
      <c r="AD448">
        <f t="shared" si="16"/>
        <v>310</v>
      </c>
    </row>
    <row r="449" spans="27:30" x14ac:dyDescent="0.25">
      <c r="AA449">
        <f t="shared" si="15"/>
        <v>311</v>
      </c>
      <c r="AB449" s="279">
        <v>45008</v>
      </c>
      <c r="AC449" s="6">
        <v>1</v>
      </c>
      <c r="AD449">
        <f t="shared" si="16"/>
        <v>311</v>
      </c>
    </row>
    <row r="450" spans="27:30" x14ac:dyDescent="0.25">
      <c r="AA450">
        <f t="shared" si="15"/>
        <v>312</v>
      </c>
      <c r="AB450" s="279">
        <v>45009</v>
      </c>
      <c r="AC450" s="6">
        <v>1</v>
      </c>
      <c r="AD450">
        <f t="shared" si="16"/>
        <v>312</v>
      </c>
    </row>
    <row r="451" spans="27:30" x14ac:dyDescent="0.25">
      <c r="AA451">
        <f t="shared" si="15"/>
        <v>312</v>
      </c>
      <c r="AB451" s="279">
        <v>45010</v>
      </c>
      <c r="AC451" s="6">
        <v>0</v>
      </c>
      <c r="AD451">
        <f t="shared" si="16"/>
        <v>312</v>
      </c>
    </row>
    <row r="452" spans="27:30" x14ac:dyDescent="0.25">
      <c r="AA452">
        <f t="shared" ref="AA452:AA515" si="17">AA451+AC452</f>
        <v>312</v>
      </c>
      <c r="AB452" s="279">
        <v>45011</v>
      </c>
      <c r="AC452" s="6">
        <v>0</v>
      </c>
      <c r="AD452">
        <f t="shared" si="16"/>
        <v>312</v>
      </c>
    </row>
    <row r="453" spans="27:30" x14ac:dyDescent="0.25">
      <c r="AA453">
        <f t="shared" si="17"/>
        <v>313</v>
      </c>
      <c r="AB453" s="279">
        <v>45012</v>
      </c>
      <c r="AC453" s="6">
        <v>1</v>
      </c>
      <c r="AD453">
        <f t="shared" ref="AD453:AD516" si="18">AA452+AC453</f>
        <v>313</v>
      </c>
    </row>
    <row r="454" spans="27:30" x14ac:dyDescent="0.25">
      <c r="AA454">
        <f t="shared" si="17"/>
        <v>314</v>
      </c>
      <c r="AB454" s="279">
        <v>45013</v>
      </c>
      <c r="AC454" s="6">
        <v>1</v>
      </c>
      <c r="AD454">
        <f t="shared" si="18"/>
        <v>314</v>
      </c>
    </row>
    <row r="455" spans="27:30" x14ac:dyDescent="0.25">
      <c r="AA455">
        <f t="shared" si="17"/>
        <v>315</v>
      </c>
      <c r="AB455" s="279">
        <v>45014</v>
      </c>
      <c r="AC455" s="6">
        <v>1</v>
      </c>
      <c r="AD455">
        <f t="shared" si="18"/>
        <v>315</v>
      </c>
    </row>
    <row r="456" spans="27:30" x14ac:dyDescent="0.25">
      <c r="AA456">
        <f t="shared" si="17"/>
        <v>316</v>
      </c>
      <c r="AB456" s="279">
        <v>45015</v>
      </c>
      <c r="AC456" s="6">
        <v>1</v>
      </c>
      <c r="AD456">
        <f t="shared" si="18"/>
        <v>316</v>
      </c>
    </row>
    <row r="457" spans="27:30" x14ac:dyDescent="0.25">
      <c r="AA457">
        <f t="shared" si="17"/>
        <v>317</v>
      </c>
      <c r="AB457" s="279">
        <v>45016</v>
      </c>
      <c r="AC457" s="6">
        <v>1</v>
      </c>
      <c r="AD457">
        <f t="shared" si="18"/>
        <v>317</v>
      </c>
    </row>
    <row r="458" spans="27:30" x14ac:dyDescent="0.25">
      <c r="AA458">
        <f t="shared" si="17"/>
        <v>317</v>
      </c>
      <c r="AB458" s="279">
        <v>45017</v>
      </c>
      <c r="AC458" s="6">
        <v>0</v>
      </c>
      <c r="AD458">
        <f t="shared" si="18"/>
        <v>317</v>
      </c>
    </row>
    <row r="459" spans="27:30" x14ac:dyDescent="0.25">
      <c r="AA459">
        <f t="shared" si="17"/>
        <v>317</v>
      </c>
      <c r="AB459" s="279">
        <v>45018</v>
      </c>
      <c r="AC459" s="6">
        <v>0</v>
      </c>
      <c r="AD459">
        <f t="shared" si="18"/>
        <v>317</v>
      </c>
    </row>
    <row r="460" spans="27:30" x14ac:dyDescent="0.25">
      <c r="AA460">
        <f t="shared" si="17"/>
        <v>318</v>
      </c>
      <c r="AB460" s="279">
        <v>45019</v>
      </c>
      <c r="AC460" s="6">
        <v>1</v>
      </c>
      <c r="AD460">
        <f t="shared" si="18"/>
        <v>318</v>
      </c>
    </row>
    <row r="461" spans="27:30" x14ac:dyDescent="0.25">
      <c r="AA461">
        <f t="shared" si="17"/>
        <v>319</v>
      </c>
      <c r="AB461" s="279">
        <v>45020</v>
      </c>
      <c r="AC461" s="6">
        <v>1</v>
      </c>
      <c r="AD461">
        <f t="shared" si="18"/>
        <v>319</v>
      </c>
    </row>
    <row r="462" spans="27:30" x14ac:dyDescent="0.25">
      <c r="AA462">
        <f t="shared" si="17"/>
        <v>320</v>
      </c>
      <c r="AB462" s="279">
        <v>45021</v>
      </c>
      <c r="AC462" s="6">
        <v>1</v>
      </c>
      <c r="AD462">
        <f t="shared" si="18"/>
        <v>320</v>
      </c>
    </row>
    <row r="463" spans="27:30" x14ac:dyDescent="0.25">
      <c r="AA463">
        <f t="shared" si="17"/>
        <v>321</v>
      </c>
      <c r="AB463" s="279">
        <v>45022</v>
      </c>
      <c r="AC463" s="6">
        <v>1</v>
      </c>
      <c r="AD463">
        <f t="shared" si="18"/>
        <v>321</v>
      </c>
    </row>
    <row r="464" spans="27:30" x14ac:dyDescent="0.25">
      <c r="AA464">
        <f t="shared" si="17"/>
        <v>321</v>
      </c>
      <c r="AB464" s="279">
        <v>45023</v>
      </c>
      <c r="AC464" s="6">
        <v>0</v>
      </c>
      <c r="AD464">
        <f t="shared" si="18"/>
        <v>321</v>
      </c>
    </row>
    <row r="465" spans="27:30" x14ac:dyDescent="0.25">
      <c r="AA465">
        <f t="shared" si="17"/>
        <v>321</v>
      </c>
      <c r="AB465" s="279">
        <v>45024</v>
      </c>
      <c r="AC465" s="6">
        <v>0</v>
      </c>
      <c r="AD465">
        <f t="shared" si="18"/>
        <v>321</v>
      </c>
    </row>
    <row r="466" spans="27:30" x14ac:dyDescent="0.25">
      <c r="AA466">
        <f t="shared" si="17"/>
        <v>321</v>
      </c>
      <c r="AB466" s="279">
        <v>45025</v>
      </c>
      <c r="AC466" s="6">
        <v>0</v>
      </c>
      <c r="AD466">
        <f t="shared" si="18"/>
        <v>321</v>
      </c>
    </row>
    <row r="467" spans="27:30" x14ac:dyDescent="0.25">
      <c r="AA467">
        <f t="shared" si="17"/>
        <v>321</v>
      </c>
      <c r="AB467" s="279">
        <v>45026</v>
      </c>
      <c r="AC467" s="6">
        <v>0</v>
      </c>
      <c r="AD467">
        <f t="shared" si="18"/>
        <v>321</v>
      </c>
    </row>
    <row r="468" spans="27:30" x14ac:dyDescent="0.25">
      <c r="AA468">
        <f t="shared" si="17"/>
        <v>322</v>
      </c>
      <c r="AB468" s="279">
        <v>45027</v>
      </c>
      <c r="AC468" s="6">
        <v>1</v>
      </c>
      <c r="AD468">
        <f t="shared" si="18"/>
        <v>322</v>
      </c>
    </row>
    <row r="469" spans="27:30" x14ac:dyDescent="0.25">
      <c r="AA469">
        <f t="shared" si="17"/>
        <v>323</v>
      </c>
      <c r="AB469" s="279">
        <v>45028</v>
      </c>
      <c r="AC469" s="6">
        <v>1</v>
      </c>
      <c r="AD469">
        <f t="shared" si="18"/>
        <v>323</v>
      </c>
    </row>
    <row r="470" spans="27:30" x14ac:dyDescent="0.25">
      <c r="AA470">
        <f t="shared" si="17"/>
        <v>324</v>
      </c>
      <c r="AB470" s="279">
        <v>45029</v>
      </c>
      <c r="AC470" s="6">
        <v>1</v>
      </c>
      <c r="AD470">
        <f t="shared" si="18"/>
        <v>324</v>
      </c>
    </row>
    <row r="471" spans="27:30" x14ac:dyDescent="0.25">
      <c r="AA471">
        <f t="shared" si="17"/>
        <v>325</v>
      </c>
      <c r="AB471" s="279">
        <v>45030</v>
      </c>
      <c r="AC471" s="6">
        <v>1</v>
      </c>
      <c r="AD471">
        <f t="shared" si="18"/>
        <v>325</v>
      </c>
    </row>
    <row r="472" spans="27:30" x14ac:dyDescent="0.25">
      <c r="AA472">
        <f t="shared" si="17"/>
        <v>325</v>
      </c>
      <c r="AB472" s="279">
        <v>45031</v>
      </c>
      <c r="AC472" s="6">
        <v>0</v>
      </c>
      <c r="AD472">
        <f t="shared" si="18"/>
        <v>325</v>
      </c>
    </row>
    <row r="473" spans="27:30" x14ac:dyDescent="0.25">
      <c r="AA473">
        <f t="shared" si="17"/>
        <v>325</v>
      </c>
      <c r="AB473" s="279">
        <v>45032</v>
      </c>
      <c r="AC473" s="6">
        <v>0</v>
      </c>
      <c r="AD473">
        <f t="shared" si="18"/>
        <v>325</v>
      </c>
    </row>
    <row r="474" spans="27:30" x14ac:dyDescent="0.25">
      <c r="AA474">
        <f t="shared" si="17"/>
        <v>326</v>
      </c>
      <c r="AB474" s="279">
        <v>45033</v>
      </c>
      <c r="AC474" s="6">
        <v>1</v>
      </c>
      <c r="AD474">
        <f t="shared" si="18"/>
        <v>326</v>
      </c>
    </row>
    <row r="475" spans="27:30" x14ac:dyDescent="0.25">
      <c r="AA475">
        <f t="shared" si="17"/>
        <v>327</v>
      </c>
      <c r="AB475" s="279">
        <v>45034</v>
      </c>
      <c r="AC475" s="6">
        <v>1</v>
      </c>
      <c r="AD475">
        <f t="shared" si="18"/>
        <v>327</v>
      </c>
    </row>
    <row r="476" spans="27:30" x14ac:dyDescent="0.25">
      <c r="AA476">
        <f t="shared" si="17"/>
        <v>328</v>
      </c>
      <c r="AB476" s="279">
        <v>45035</v>
      </c>
      <c r="AC476" s="6">
        <v>1</v>
      </c>
      <c r="AD476">
        <f t="shared" si="18"/>
        <v>328</v>
      </c>
    </row>
    <row r="477" spans="27:30" x14ac:dyDescent="0.25">
      <c r="AA477">
        <f t="shared" si="17"/>
        <v>329</v>
      </c>
      <c r="AB477" s="279">
        <v>45036</v>
      </c>
      <c r="AC477" s="6">
        <v>1</v>
      </c>
      <c r="AD477">
        <f t="shared" si="18"/>
        <v>329</v>
      </c>
    </row>
    <row r="478" spans="27:30" x14ac:dyDescent="0.25">
      <c r="AA478">
        <f t="shared" si="17"/>
        <v>330</v>
      </c>
      <c r="AB478" s="279">
        <v>45037</v>
      </c>
      <c r="AC478" s="6">
        <v>1</v>
      </c>
      <c r="AD478">
        <f t="shared" si="18"/>
        <v>330</v>
      </c>
    </row>
    <row r="479" spans="27:30" x14ac:dyDescent="0.25">
      <c r="AA479">
        <f t="shared" si="17"/>
        <v>330</v>
      </c>
      <c r="AB479" s="279">
        <v>45038</v>
      </c>
      <c r="AC479" s="6">
        <v>0</v>
      </c>
      <c r="AD479">
        <f t="shared" si="18"/>
        <v>330</v>
      </c>
    </row>
    <row r="480" spans="27:30" x14ac:dyDescent="0.25">
      <c r="AA480">
        <f t="shared" si="17"/>
        <v>330</v>
      </c>
      <c r="AB480" s="279">
        <v>45039</v>
      </c>
      <c r="AC480" s="6">
        <v>0</v>
      </c>
      <c r="AD480">
        <f t="shared" si="18"/>
        <v>330</v>
      </c>
    </row>
    <row r="481" spans="27:30" x14ac:dyDescent="0.25">
      <c r="AA481">
        <f t="shared" si="17"/>
        <v>331</v>
      </c>
      <c r="AB481" s="279">
        <v>45040</v>
      </c>
      <c r="AC481" s="6">
        <v>1</v>
      </c>
      <c r="AD481">
        <f t="shared" si="18"/>
        <v>331</v>
      </c>
    </row>
    <row r="482" spans="27:30" x14ac:dyDescent="0.25">
      <c r="AA482">
        <f t="shared" si="17"/>
        <v>332</v>
      </c>
      <c r="AB482" s="279">
        <v>45041</v>
      </c>
      <c r="AC482" s="6">
        <v>1</v>
      </c>
      <c r="AD482">
        <f t="shared" si="18"/>
        <v>332</v>
      </c>
    </row>
    <row r="483" spans="27:30" x14ac:dyDescent="0.25">
      <c r="AA483">
        <f t="shared" si="17"/>
        <v>333</v>
      </c>
      <c r="AB483" s="279">
        <v>45042</v>
      </c>
      <c r="AC483" s="6">
        <v>1</v>
      </c>
      <c r="AD483">
        <f t="shared" si="18"/>
        <v>333</v>
      </c>
    </row>
    <row r="484" spans="27:30" x14ac:dyDescent="0.25">
      <c r="AA484">
        <f t="shared" si="17"/>
        <v>334</v>
      </c>
      <c r="AB484" s="279">
        <v>45043</v>
      </c>
      <c r="AC484" s="6">
        <v>1</v>
      </c>
      <c r="AD484">
        <f t="shared" si="18"/>
        <v>334</v>
      </c>
    </row>
    <row r="485" spans="27:30" x14ac:dyDescent="0.25">
      <c r="AA485">
        <f t="shared" si="17"/>
        <v>335</v>
      </c>
      <c r="AB485" s="279">
        <v>45044</v>
      </c>
      <c r="AC485" s="6">
        <v>1</v>
      </c>
      <c r="AD485">
        <f t="shared" si="18"/>
        <v>335</v>
      </c>
    </row>
    <row r="486" spans="27:30" x14ac:dyDescent="0.25">
      <c r="AA486">
        <f t="shared" si="17"/>
        <v>335</v>
      </c>
      <c r="AB486" s="279">
        <v>45045</v>
      </c>
      <c r="AC486" s="6">
        <v>0</v>
      </c>
      <c r="AD486">
        <f t="shared" si="18"/>
        <v>335</v>
      </c>
    </row>
    <row r="487" spans="27:30" x14ac:dyDescent="0.25">
      <c r="AA487">
        <f t="shared" si="17"/>
        <v>335</v>
      </c>
      <c r="AB487" s="279">
        <v>45046</v>
      </c>
      <c r="AC487" s="6">
        <v>0</v>
      </c>
      <c r="AD487">
        <f t="shared" si="18"/>
        <v>335</v>
      </c>
    </row>
    <row r="488" spans="27:30" x14ac:dyDescent="0.25">
      <c r="AA488">
        <f t="shared" si="17"/>
        <v>335</v>
      </c>
      <c r="AB488" s="279">
        <v>45047</v>
      </c>
      <c r="AC488" s="6">
        <v>0</v>
      </c>
      <c r="AD488">
        <f t="shared" si="18"/>
        <v>335</v>
      </c>
    </row>
    <row r="489" spans="27:30" x14ac:dyDescent="0.25">
      <c r="AA489">
        <f t="shared" si="17"/>
        <v>336</v>
      </c>
      <c r="AB489" s="279">
        <v>45048</v>
      </c>
      <c r="AC489" s="6">
        <v>1</v>
      </c>
      <c r="AD489">
        <f t="shared" si="18"/>
        <v>336</v>
      </c>
    </row>
    <row r="490" spans="27:30" x14ac:dyDescent="0.25">
      <c r="AA490">
        <f t="shared" si="17"/>
        <v>337</v>
      </c>
      <c r="AB490" s="279">
        <v>45049</v>
      </c>
      <c r="AC490" s="6">
        <v>1</v>
      </c>
      <c r="AD490">
        <f t="shared" si="18"/>
        <v>337</v>
      </c>
    </row>
    <row r="491" spans="27:30" x14ac:dyDescent="0.25">
      <c r="AA491">
        <f t="shared" si="17"/>
        <v>338</v>
      </c>
      <c r="AB491" s="279">
        <v>45050</v>
      </c>
      <c r="AC491" s="6">
        <v>1</v>
      </c>
      <c r="AD491">
        <f t="shared" si="18"/>
        <v>338</v>
      </c>
    </row>
    <row r="492" spans="27:30" x14ac:dyDescent="0.25">
      <c r="AA492">
        <f t="shared" si="17"/>
        <v>339</v>
      </c>
      <c r="AB492" s="279">
        <v>45051</v>
      </c>
      <c r="AC492" s="6">
        <v>1</v>
      </c>
      <c r="AD492">
        <f t="shared" si="18"/>
        <v>339</v>
      </c>
    </row>
    <row r="493" spans="27:30" x14ac:dyDescent="0.25">
      <c r="AA493">
        <f t="shared" si="17"/>
        <v>339</v>
      </c>
      <c r="AB493" s="279">
        <v>45052</v>
      </c>
      <c r="AC493" s="6">
        <v>0</v>
      </c>
      <c r="AD493">
        <f t="shared" si="18"/>
        <v>339</v>
      </c>
    </row>
    <row r="494" spans="27:30" x14ac:dyDescent="0.25">
      <c r="AA494">
        <f t="shared" si="17"/>
        <v>339</v>
      </c>
      <c r="AB494" s="279">
        <v>45053</v>
      </c>
      <c r="AC494" s="6">
        <v>0</v>
      </c>
      <c r="AD494">
        <f t="shared" si="18"/>
        <v>339</v>
      </c>
    </row>
    <row r="495" spans="27:30" x14ac:dyDescent="0.25">
      <c r="AA495">
        <f t="shared" si="17"/>
        <v>339</v>
      </c>
      <c r="AB495" s="279">
        <v>45054</v>
      </c>
      <c r="AC495" s="6">
        <v>0</v>
      </c>
      <c r="AD495">
        <f t="shared" si="18"/>
        <v>339</v>
      </c>
    </row>
    <row r="496" spans="27:30" x14ac:dyDescent="0.25">
      <c r="AA496">
        <f t="shared" si="17"/>
        <v>340</v>
      </c>
      <c r="AB496" s="279">
        <v>45055</v>
      </c>
      <c r="AC496" s="6">
        <v>1</v>
      </c>
      <c r="AD496">
        <f t="shared" si="18"/>
        <v>340</v>
      </c>
    </row>
    <row r="497" spans="27:30" x14ac:dyDescent="0.25">
      <c r="AA497">
        <f t="shared" si="17"/>
        <v>341</v>
      </c>
      <c r="AB497" s="279">
        <v>45056</v>
      </c>
      <c r="AC497" s="6">
        <v>1</v>
      </c>
      <c r="AD497">
        <f t="shared" si="18"/>
        <v>341</v>
      </c>
    </row>
    <row r="498" spans="27:30" x14ac:dyDescent="0.25">
      <c r="AA498">
        <f t="shared" si="17"/>
        <v>342</v>
      </c>
      <c r="AB498" s="279">
        <v>45057</v>
      </c>
      <c r="AC498" s="6">
        <v>1</v>
      </c>
      <c r="AD498">
        <f t="shared" si="18"/>
        <v>342</v>
      </c>
    </row>
    <row r="499" spans="27:30" x14ac:dyDescent="0.25">
      <c r="AA499">
        <f t="shared" si="17"/>
        <v>343</v>
      </c>
      <c r="AB499" s="279">
        <v>45058</v>
      </c>
      <c r="AC499" s="6">
        <v>1</v>
      </c>
      <c r="AD499">
        <f t="shared" si="18"/>
        <v>343</v>
      </c>
    </row>
    <row r="500" spans="27:30" x14ac:dyDescent="0.25">
      <c r="AA500">
        <f t="shared" si="17"/>
        <v>343</v>
      </c>
      <c r="AB500" s="279">
        <v>45059</v>
      </c>
      <c r="AC500" s="6">
        <v>0</v>
      </c>
      <c r="AD500">
        <f t="shared" si="18"/>
        <v>343</v>
      </c>
    </row>
    <row r="501" spans="27:30" x14ac:dyDescent="0.25">
      <c r="AA501">
        <f t="shared" si="17"/>
        <v>343</v>
      </c>
      <c r="AB501" s="279">
        <v>45060</v>
      </c>
      <c r="AC501" s="6">
        <v>0</v>
      </c>
      <c r="AD501">
        <f t="shared" si="18"/>
        <v>343</v>
      </c>
    </row>
    <row r="502" spans="27:30" x14ac:dyDescent="0.25">
      <c r="AA502">
        <f t="shared" si="17"/>
        <v>344</v>
      </c>
      <c r="AB502" s="279">
        <v>45061</v>
      </c>
      <c r="AC502" s="6">
        <v>1</v>
      </c>
      <c r="AD502">
        <f t="shared" si="18"/>
        <v>344</v>
      </c>
    </row>
    <row r="503" spans="27:30" x14ac:dyDescent="0.25">
      <c r="AA503">
        <f t="shared" si="17"/>
        <v>345</v>
      </c>
      <c r="AB503" s="279">
        <v>45062</v>
      </c>
      <c r="AC503" s="6">
        <v>1</v>
      </c>
      <c r="AD503">
        <f t="shared" si="18"/>
        <v>345</v>
      </c>
    </row>
    <row r="504" spans="27:30" x14ac:dyDescent="0.25">
      <c r="AA504">
        <f t="shared" si="17"/>
        <v>346</v>
      </c>
      <c r="AB504" s="279">
        <v>45063</v>
      </c>
      <c r="AC504" s="6">
        <v>1</v>
      </c>
      <c r="AD504">
        <f t="shared" si="18"/>
        <v>346</v>
      </c>
    </row>
    <row r="505" spans="27:30" x14ac:dyDescent="0.25">
      <c r="AA505">
        <f t="shared" si="17"/>
        <v>347</v>
      </c>
      <c r="AB505" s="279">
        <v>45064</v>
      </c>
      <c r="AC505" s="6">
        <v>1</v>
      </c>
      <c r="AD505">
        <f t="shared" si="18"/>
        <v>347</v>
      </c>
    </row>
    <row r="506" spans="27:30" x14ac:dyDescent="0.25">
      <c r="AA506">
        <f t="shared" si="17"/>
        <v>348</v>
      </c>
      <c r="AB506" s="279">
        <v>45065</v>
      </c>
      <c r="AC506" s="6">
        <v>1</v>
      </c>
      <c r="AD506">
        <f t="shared" si="18"/>
        <v>348</v>
      </c>
    </row>
    <row r="507" spans="27:30" x14ac:dyDescent="0.25">
      <c r="AA507">
        <f t="shared" si="17"/>
        <v>348</v>
      </c>
      <c r="AB507" s="279">
        <v>45066</v>
      </c>
      <c r="AC507" s="6">
        <v>0</v>
      </c>
      <c r="AD507">
        <f t="shared" si="18"/>
        <v>348</v>
      </c>
    </row>
    <row r="508" spans="27:30" x14ac:dyDescent="0.25">
      <c r="AA508">
        <f t="shared" si="17"/>
        <v>348</v>
      </c>
      <c r="AB508" s="279">
        <v>45067</v>
      </c>
      <c r="AC508" s="6">
        <v>0</v>
      </c>
      <c r="AD508">
        <f t="shared" si="18"/>
        <v>348</v>
      </c>
    </row>
    <row r="509" spans="27:30" x14ac:dyDescent="0.25">
      <c r="AA509">
        <f t="shared" si="17"/>
        <v>349</v>
      </c>
      <c r="AB509" s="279">
        <v>45068</v>
      </c>
      <c r="AC509" s="6">
        <v>1</v>
      </c>
      <c r="AD509">
        <f t="shared" si="18"/>
        <v>349</v>
      </c>
    </row>
    <row r="510" spans="27:30" x14ac:dyDescent="0.25">
      <c r="AA510">
        <f t="shared" si="17"/>
        <v>350</v>
      </c>
      <c r="AB510" s="279">
        <v>45069</v>
      </c>
      <c r="AC510" s="6">
        <v>1</v>
      </c>
      <c r="AD510">
        <f t="shared" si="18"/>
        <v>350</v>
      </c>
    </row>
    <row r="511" spans="27:30" x14ac:dyDescent="0.25">
      <c r="AA511">
        <f t="shared" si="17"/>
        <v>351</v>
      </c>
      <c r="AB511" s="279">
        <v>45070</v>
      </c>
      <c r="AC511" s="6">
        <v>1</v>
      </c>
      <c r="AD511">
        <f t="shared" si="18"/>
        <v>351</v>
      </c>
    </row>
    <row r="512" spans="27:30" x14ac:dyDescent="0.25">
      <c r="AA512">
        <f t="shared" si="17"/>
        <v>352</v>
      </c>
      <c r="AB512" s="279">
        <v>45071</v>
      </c>
      <c r="AC512" s="6">
        <v>1</v>
      </c>
      <c r="AD512">
        <f t="shared" si="18"/>
        <v>352</v>
      </c>
    </row>
    <row r="513" spans="27:30" x14ac:dyDescent="0.25">
      <c r="AA513">
        <f t="shared" si="17"/>
        <v>353</v>
      </c>
      <c r="AB513" s="279">
        <v>45072</v>
      </c>
      <c r="AC513" s="6">
        <v>1</v>
      </c>
      <c r="AD513">
        <f t="shared" si="18"/>
        <v>353</v>
      </c>
    </row>
    <row r="514" spans="27:30" x14ac:dyDescent="0.25">
      <c r="AA514">
        <f t="shared" si="17"/>
        <v>353</v>
      </c>
      <c r="AB514" s="279">
        <v>45073</v>
      </c>
      <c r="AC514" s="6">
        <v>0</v>
      </c>
      <c r="AD514">
        <f t="shared" si="18"/>
        <v>353</v>
      </c>
    </row>
    <row r="515" spans="27:30" x14ac:dyDescent="0.25">
      <c r="AA515">
        <f t="shared" si="17"/>
        <v>353</v>
      </c>
      <c r="AB515" s="279">
        <v>45074</v>
      </c>
      <c r="AC515" s="6">
        <v>0</v>
      </c>
      <c r="AD515">
        <f t="shared" si="18"/>
        <v>353</v>
      </c>
    </row>
    <row r="516" spans="27:30" x14ac:dyDescent="0.25">
      <c r="AA516">
        <f t="shared" ref="AA516:AA569" si="19">AA515+AC516</f>
        <v>354</v>
      </c>
      <c r="AB516" s="279">
        <v>45075</v>
      </c>
      <c r="AC516" s="6">
        <v>1</v>
      </c>
      <c r="AD516">
        <f t="shared" si="18"/>
        <v>354</v>
      </c>
    </row>
    <row r="517" spans="27:30" x14ac:dyDescent="0.25">
      <c r="AA517">
        <f t="shared" si="19"/>
        <v>355</v>
      </c>
      <c r="AB517" s="279">
        <v>45076</v>
      </c>
      <c r="AC517" s="6">
        <v>1</v>
      </c>
      <c r="AD517">
        <f t="shared" ref="AD517:AD569" si="20">AA516+AC517</f>
        <v>355</v>
      </c>
    </row>
    <row r="518" spans="27:30" x14ac:dyDescent="0.25">
      <c r="AA518">
        <f t="shared" si="19"/>
        <v>356</v>
      </c>
      <c r="AB518" s="279">
        <v>45077</v>
      </c>
      <c r="AC518" s="6">
        <v>1</v>
      </c>
      <c r="AD518">
        <f t="shared" si="20"/>
        <v>356</v>
      </c>
    </row>
    <row r="519" spans="27:30" x14ac:dyDescent="0.25">
      <c r="AA519">
        <f t="shared" si="19"/>
        <v>357</v>
      </c>
      <c r="AB519" s="279">
        <v>45078</v>
      </c>
      <c r="AC519" s="6">
        <v>1</v>
      </c>
      <c r="AD519">
        <f t="shared" si="20"/>
        <v>357</v>
      </c>
    </row>
    <row r="520" spans="27:30" x14ac:dyDescent="0.25">
      <c r="AA520">
        <f t="shared" si="19"/>
        <v>358</v>
      </c>
      <c r="AB520" s="279">
        <v>45079</v>
      </c>
      <c r="AC520" s="6">
        <v>1</v>
      </c>
      <c r="AD520">
        <f t="shared" si="20"/>
        <v>358</v>
      </c>
    </row>
    <row r="521" spans="27:30" x14ac:dyDescent="0.25">
      <c r="AA521">
        <f t="shared" si="19"/>
        <v>358</v>
      </c>
      <c r="AB521" s="279">
        <v>45080</v>
      </c>
      <c r="AC521" s="6">
        <v>0</v>
      </c>
      <c r="AD521">
        <f t="shared" si="20"/>
        <v>358</v>
      </c>
    </row>
    <row r="522" spans="27:30" x14ac:dyDescent="0.25">
      <c r="AA522">
        <f t="shared" si="19"/>
        <v>358</v>
      </c>
      <c r="AB522" s="279">
        <v>45081</v>
      </c>
      <c r="AC522" s="6">
        <v>0</v>
      </c>
      <c r="AD522">
        <f t="shared" si="20"/>
        <v>358</v>
      </c>
    </row>
    <row r="523" spans="27:30" x14ac:dyDescent="0.25">
      <c r="AA523">
        <f t="shared" si="19"/>
        <v>359</v>
      </c>
      <c r="AB523" s="279">
        <v>45082</v>
      </c>
      <c r="AC523" s="6">
        <v>1</v>
      </c>
      <c r="AD523">
        <f t="shared" si="20"/>
        <v>359</v>
      </c>
    </row>
    <row r="524" spans="27:30" x14ac:dyDescent="0.25">
      <c r="AA524">
        <f t="shared" si="19"/>
        <v>360</v>
      </c>
      <c r="AB524" s="279">
        <v>45083</v>
      </c>
      <c r="AC524" s="6">
        <v>1</v>
      </c>
      <c r="AD524">
        <f t="shared" si="20"/>
        <v>360</v>
      </c>
    </row>
    <row r="525" spans="27:30" x14ac:dyDescent="0.25">
      <c r="AA525">
        <f t="shared" si="19"/>
        <v>361</v>
      </c>
      <c r="AB525" s="279">
        <v>45084</v>
      </c>
      <c r="AC525" s="6">
        <v>1</v>
      </c>
      <c r="AD525">
        <f t="shared" si="20"/>
        <v>361</v>
      </c>
    </row>
    <row r="526" spans="27:30" x14ac:dyDescent="0.25">
      <c r="AA526">
        <f t="shared" si="19"/>
        <v>362</v>
      </c>
      <c r="AB526" s="279">
        <v>45085</v>
      </c>
      <c r="AC526" s="6">
        <v>1</v>
      </c>
      <c r="AD526">
        <f t="shared" si="20"/>
        <v>362</v>
      </c>
    </row>
    <row r="527" spans="27:30" x14ac:dyDescent="0.25">
      <c r="AA527">
        <f t="shared" si="19"/>
        <v>363</v>
      </c>
      <c r="AB527" s="279">
        <v>45086</v>
      </c>
      <c r="AC527" s="6">
        <v>1</v>
      </c>
      <c r="AD527">
        <f t="shared" si="20"/>
        <v>363</v>
      </c>
    </row>
    <row r="528" spans="27:30" x14ac:dyDescent="0.25">
      <c r="AA528">
        <f t="shared" si="19"/>
        <v>363</v>
      </c>
      <c r="AB528" s="279">
        <v>45087</v>
      </c>
      <c r="AC528" s="6">
        <v>0</v>
      </c>
      <c r="AD528">
        <f t="shared" si="20"/>
        <v>363</v>
      </c>
    </row>
    <row r="529" spans="27:30" x14ac:dyDescent="0.25">
      <c r="AA529">
        <f t="shared" si="19"/>
        <v>363</v>
      </c>
      <c r="AB529" s="279">
        <v>45088</v>
      </c>
      <c r="AC529" s="6">
        <v>0</v>
      </c>
      <c r="AD529">
        <f t="shared" si="20"/>
        <v>363</v>
      </c>
    </row>
    <row r="530" spans="27:30" x14ac:dyDescent="0.25">
      <c r="AA530">
        <f t="shared" si="19"/>
        <v>364</v>
      </c>
      <c r="AB530" s="279">
        <v>45089</v>
      </c>
      <c r="AC530" s="6">
        <v>1</v>
      </c>
      <c r="AD530">
        <f t="shared" si="20"/>
        <v>364</v>
      </c>
    </row>
    <row r="531" spans="27:30" x14ac:dyDescent="0.25">
      <c r="AA531">
        <f t="shared" si="19"/>
        <v>365</v>
      </c>
      <c r="AB531" s="279">
        <v>45090</v>
      </c>
      <c r="AC531" s="6">
        <v>1</v>
      </c>
      <c r="AD531">
        <f t="shared" si="20"/>
        <v>365</v>
      </c>
    </row>
    <row r="532" spans="27:30" x14ac:dyDescent="0.25">
      <c r="AA532">
        <f t="shared" si="19"/>
        <v>366</v>
      </c>
      <c r="AB532" s="279">
        <v>45091</v>
      </c>
      <c r="AC532" s="6">
        <v>1</v>
      </c>
      <c r="AD532">
        <f t="shared" si="20"/>
        <v>366</v>
      </c>
    </row>
    <row r="533" spans="27:30" x14ac:dyDescent="0.25">
      <c r="AA533">
        <f t="shared" si="19"/>
        <v>367</v>
      </c>
      <c r="AB533" s="279">
        <v>45092</v>
      </c>
      <c r="AC533" s="6">
        <v>1</v>
      </c>
      <c r="AD533">
        <f t="shared" si="20"/>
        <v>367</v>
      </c>
    </row>
    <row r="534" spans="27:30" x14ac:dyDescent="0.25">
      <c r="AA534">
        <f t="shared" si="19"/>
        <v>368</v>
      </c>
      <c r="AB534" s="279">
        <v>45093</v>
      </c>
      <c r="AC534" s="6">
        <v>1</v>
      </c>
      <c r="AD534">
        <f t="shared" si="20"/>
        <v>368</v>
      </c>
    </row>
    <row r="535" spans="27:30" x14ac:dyDescent="0.25">
      <c r="AA535">
        <f t="shared" si="19"/>
        <v>368</v>
      </c>
      <c r="AB535" s="279">
        <v>45094</v>
      </c>
      <c r="AC535" s="6">
        <v>0</v>
      </c>
      <c r="AD535">
        <f t="shared" si="20"/>
        <v>368</v>
      </c>
    </row>
    <row r="536" spans="27:30" x14ac:dyDescent="0.25">
      <c r="AA536">
        <f t="shared" si="19"/>
        <v>368</v>
      </c>
      <c r="AB536" s="279">
        <v>45095</v>
      </c>
      <c r="AC536" s="6">
        <v>0</v>
      </c>
      <c r="AD536">
        <f t="shared" si="20"/>
        <v>368</v>
      </c>
    </row>
    <row r="537" spans="27:30" x14ac:dyDescent="0.25">
      <c r="AA537">
        <f t="shared" si="19"/>
        <v>369</v>
      </c>
      <c r="AB537" s="279">
        <v>45096</v>
      </c>
      <c r="AC537" s="6">
        <v>1</v>
      </c>
      <c r="AD537">
        <f t="shared" si="20"/>
        <v>369</v>
      </c>
    </row>
    <row r="538" spans="27:30" x14ac:dyDescent="0.25">
      <c r="AA538">
        <f t="shared" si="19"/>
        <v>370</v>
      </c>
      <c r="AB538" s="279">
        <v>45097</v>
      </c>
      <c r="AC538" s="6">
        <v>1</v>
      </c>
      <c r="AD538">
        <f t="shared" si="20"/>
        <v>370</v>
      </c>
    </row>
    <row r="539" spans="27:30" x14ac:dyDescent="0.25">
      <c r="AA539">
        <f t="shared" si="19"/>
        <v>371</v>
      </c>
      <c r="AB539" s="279">
        <v>45098</v>
      </c>
      <c r="AC539" s="6">
        <v>1</v>
      </c>
      <c r="AD539">
        <f t="shared" si="20"/>
        <v>371</v>
      </c>
    </row>
    <row r="540" spans="27:30" x14ac:dyDescent="0.25">
      <c r="AA540">
        <f t="shared" si="19"/>
        <v>372</v>
      </c>
      <c r="AB540" s="279">
        <v>45099</v>
      </c>
      <c r="AC540" s="6">
        <v>1</v>
      </c>
      <c r="AD540">
        <f t="shared" si="20"/>
        <v>372</v>
      </c>
    </row>
    <row r="541" spans="27:30" x14ac:dyDescent="0.25">
      <c r="AA541">
        <f t="shared" si="19"/>
        <v>373</v>
      </c>
      <c r="AB541" s="279">
        <v>45100</v>
      </c>
      <c r="AC541" s="6">
        <v>1</v>
      </c>
      <c r="AD541">
        <f t="shared" si="20"/>
        <v>373</v>
      </c>
    </row>
    <row r="542" spans="27:30" x14ac:dyDescent="0.25">
      <c r="AA542">
        <f t="shared" si="19"/>
        <v>373</v>
      </c>
      <c r="AB542" s="279">
        <v>45101</v>
      </c>
      <c r="AC542" s="6">
        <v>0</v>
      </c>
      <c r="AD542">
        <f t="shared" si="20"/>
        <v>373</v>
      </c>
    </row>
    <row r="543" spans="27:30" x14ac:dyDescent="0.25">
      <c r="AA543">
        <f t="shared" si="19"/>
        <v>373</v>
      </c>
      <c r="AB543" s="279">
        <v>45102</v>
      </c>
      <c r="AC543" s="6">
        <v>0</v>
      </c>
      <c r="AD543">
        <f t="shared" si="20"/>
        <v>373</v>
      </c>
    </row>
    <row r="544" spans="27:30" x14ac:dyDescent="0.25">
      <c r="AA544">
        <f t="shared" si="19"/>
        <v>374</v>
      </c>
      <c r="AB544" s="279">
        <v>45103</v>
      </c>
      <c r="AC544" s="6">
        <v>1</v>
      </c>
      <c r="AD544">
        <f t="shared" si="20"/>
        <v>374</v>
      </c>
    </row>
    <row r="545" spans="27:30" x14ac:dyDescent="0.25">
      <c r="AA545">
        <f t="shared" si="19"/>
        <v>375</v>
      </c>
      <c r="AB545" s="279">
        <v>45104</v>
      </c>
      <c r="AC545" s="6">
        <v>1</v>
      </c>
      <c r="AD545">
        <f t="shared" si="20"/>
        <v>375</v>
      </c>
    </row>
    <row r="546" spans="27:30" x14ac:dyDescent="0.25">
      <c r="AA546">
        <f t="shared" si="19"/>
        <v>376</v>
      </c>
      <c r="AB546" s="279">
        <v>45105</v>
      </c>
      <c r="AC546" s="6">
        <v>1</v>
      </c>
      <c r="AD546">
        <f t="shared" si="20"/>
        <v>376</v>
      </c>
    </row>
    <row r="547" spans="27:30" x14ac:dyDescent="0.25">
      <c r="AA547">
        <f t="shared" si="19"/>
        <v>377</v>
      </c>
      <c r="AB547" s="279">
        <v>45106</v>
      </c>
      <c r="AC547" s="6">
        <v>1</v>
      </c>
      <c r="AD547">
        <f t="shared" si="20"/>
        <v>377</v>
      </c>
    </row>
    <row r="548" spans="27:30" x14ac:dyDescent="0.25">
      <c r="AA548">
        <f t="shared" si="19"/>
        <v>378</v>
      </c>
      <c r="AB548" s="279">
        <v>45107</v>
      </c>
      <c r="AC548" s="6">
        <v>1</v>
      </c>
      <c r="AD548">
        <f t="shared" si="20"/>
        <v>378</v>
      </c>
    </row>
    <row r="549" spans="27:30" x14ac:dyDescent="0.25">
      <c r="AA549">
        <f t="shared" si="19"/>
        <v>378</v>
      </c>
      <c r="AB549" s="279">
        <v>45108</v>
      </c>
      <c r="AC549" s="6">
        <v>0</v>
      </c>
      <c r="AD549">
        <f t="shared" si="20"/>
        <v>378</v>
      </c>
    </row>
    <row r="550" spans="27:30" x14ac:dyDescent="0.25">
      <c r="AA550">
        <f t="shared" si="19"/>
        <v>378</v>
      </c>
      <c r="AB550" s="279">
        <v>45109</v>
      </c>
      <c r="AC550" s="6">
        <v>0</v>
      </c>
      <c r="AD550">
        <f t="shared" si="20"/>
        <v>378</v>
      </c>
    </row>
    <row r="551" spans="27:30" x14ac:dyDescent="0.25">
      <c r="AA551">
        <f t="shared" si="19"/>
        <v>379</v>
      </c>
      <c r="AB551" s="279">
        <v>45110</v>
      </c>
      <c r="AC551" s="6">
        <v>1</v>
      </c>
      <c r="AD551">
        <f t="shared" si="20"/>
        <v>379</v>
      </c>
    </row>
    <row r="552" spans="27:30" x14ac:dyDescent="0.25">
      <c r="AA552">
        <f t="shared" si="19"/>
        <v>380</v>
      </c>
      <c r="AB552" s="279">
        <v>45111</v>
      </c>
      <c r="AC552" s="6">
        <v>1</v>
      </c>
      <c r="AD552">
        <f t="shared" si="20"/>
        <v>380</v>
      </c>
    </row>
    <row r="553" spans="27:30" x14ac:dyDescent="0.25">
      <c r="AA553">
        <f t="shared" si="19"/>
        <v>380</v>
      </c>
      <c r="AB553" s="279">
        <v>45112</v>
      </c>
      <c r="AC553" s="6">
        <v>0</v>
      </c>
      <c r="AD553">
        <f t="shared" si="20"/>
        <v>380</v>
      </c>
    </row>
    <row r="554" spans="27:30" x14ac:dyDescent="0.25">
      <c r="AA554">
        <f t="shared" si="19"/>
        <v>380</v>
      </c>
      <c r="AB554" s="279">
        <v>45113</v>
      </c>
      <c r="AC554" s="6">
        <v>0</v>
      </c>
      <c r="AD554">
        <f t="shared" si="20"/>
        <v>380</v>
      </c>
    </row>
    <row r="555" spans="27:30" x14ac:dyDescent="0.25">
      <c r="AA555">
        <f t="shared" si="19"/>
        <v>381</v>
      </c>
      <c r="AB555" s="279">
        <v>45114</v>
      </c>
      <c r="AC555" s="6">
        <v>1</v>
      </c>
      <c r="AD555">
        <f t="shared" si="20"/>
        <v>381</v>
      </c>
    </row>
    <row r="556" spans="27:30" x14ac:dyDescent="0.25">
      <c r="AA556">
        <f t="shared" si="19"/>
        <v>381</v>
      </c>
      <c r="AB556" s="279">
        <v>45115</v>
      </c>
      <c r="AC556" s="6">
        <v>0</v>
      </c>
      <c r="AD556">
        <f t="shared" si="20"/>
        <v>381</v>
      </c>
    </row>
    <row r="557" spans="27:30" x14ac:dyDescent="0.25">
      <c r="AA557">
        <f t="shared" si="19"/>
        <v>381</v>
      </c>
      <c r="AB557" s="279">
        <v>45116</v>
      </c>
      <c r="AC557" s="6">
        <v>0</v>
      </c>
      <c r="AD557">
        <f t="shared" si="20"/>
        <v>381</v>
      </c>
    </row>
    <row r="558" spans="27:30" x14ac:dyDescent="0.25">
      <c r="AA558">
        <f t="shared" si="19"/>
        <v>382</v>
      </c>
      <c r="AB558" s="279">
        <v>45117</v>
      </c>
      <c r="AC558" s="6">
        <v>1</v>
      </c>
      <c r="AD558">
        <f t="shared" si="20"/>
        <v>382</v>
      </c>
    </row>
    <row r="559" spans="27:30" x14ac:dyDescent="0.25">
      <c r="AA559">
        <f t="shared" si="19"/>
        <v>383</v>
      </c>
      <c r="AB559" s="279">
        <v>45118</v>
      </c>
      <c r="AC559" s="6">
        <v>1</v>
      </c>
      <c r="AD559">
        <f t="shared" si="20"/>
        <v>383</v>
      </c>
    </row>
    <row r="560" spans="27:30" x14ac:dyDescent="0.25">
      <c r="AA560">
        <f t="shared" si="19"/>
        <v>384</v>
      </c>
      <c r="AB560" s="279">
        <v>45119</v>
      </c>
      <c r="AC560" s="6">
        <v>1</v>
      </c>
      <c r="AD560">
        <f t="shared" si="20"/>
        <v>384</v>
      </c>
    </row>
    <row r="561" spans="27:30" x14ac:dyDescent="0.25">
      <c r="AA561">
        <f t="shared" si="19"/>
        <v>385</v>
      </c>
      <c r="AB561" s="279">
        <v>45120</v>
      </c>
      <c r="AC561" s="6">
        <v>1</v>
      </c>
      <c r="AD561">
        <f t="shared" si="20"/>
        <v>385</v>
      </c>
    </row>
    <row r="562" spans="27:30" x14ac:dyDescent="0.25">
      <c r="AA562">
        <f t="shared" si="19"/>
        <v>386</v>
      </c>
      <c r="AB562" s="279">
        <v>45121</v>
      </c>
      <c r="AC562" s="6">
        <v>1</v>
      </c>
      <c r="AD562">
        <f t="shared" si="20"/>
        <v>386</v>
      </c>
    </row>
    <row r="563" spans="27:30" x14ac:dyDescent="0.25">
      <c r="AA563">
        <f t="shared" si="19"/>
        <v>386</v>
      </c>
      <c r="AB563" s="279">
        <v>45122</v>
      </c>
      <c r="AC563" s="6">
        <v>0</v>
      </c>
      <c r="AD563">
        <f t="shared" si="20"/>
        <v>386</v>
      </c>
    </row>
    <row r="564" spans="27:30" x14ac:dyDescent="0.25">
      <c r="AA564">
        <f t="shared" si="19"/>
        <v>386</v>
      </c>
      <c r="AB564" s="279">
        <v>45123</v>
      </c>
      <c r="AC564" s="6">
        <v>0</v>
      </c>
      <c r="AD564">
        <f t="shared" si="20"/>
        <v>386</v>
      </c>
    </row>
    <row r="565" spans="27:30" x14ac:dyDescent="0.25">
      <c r="AA565">
        <f t="shared" si="19"/>
        <v>387</v>
      </c>
      <c r="AB565" s="279">
        <v>45124</v>
      </c>
      <c r="AC565" s="6">
        <v>1</v>
      </c>
      <c r="AD565">
        <f t="shared" si="20"/>
        <v>387</v>
      </c>
    </row>
    <row r="566" spans="27:30" x14ac:dyDescent="0.25">
      <c r="AA566">
        <f t="shared" si="19"/>
        <v>388</v>
      </c>
      <c r="AB566" s="279">
        <v>45125</v>
      </c>
      <c r="AC566" s="6">
        <v>1</v>
      </c>
      <c r="AD566">
        <f t="shared" si="20"/>
        <v>388</v>
      </c>
    </row>
    <row r="567" spans="27:30" x14ac:dyDescent="0.25">
      <c r="AA567">
        <f t="shared" si="19"/>
        <v>389</v>
      </c>
      <c r="AB567" s="279">
        <v>45126</v>
      </c>
      <c r="AC567" s="6">
        <v>1</v>
      </c>
      <c r="AD567">
        <f t="shared" si="20"/>
        <v>389</v>
      </c>
    </row>
    <row r="568" spans="27:30" x14ac:dyDescent="0.25">
      <c r="AA568">
        <f t="shared" si="19"/>
        <v>390</v>
      </c>
      <c r="AB568" s="279">
        <v>45127</v>
      </c>
      <c r="AC568" s="6">
        <v>1</v>
      </c>
      <c r="AD568">
        <f t="shared" si="20"/>
        <v>390</v>
      </c>
    </row>
    <row r="569" spans="27:30" x14ac:dyDescent="0.25">
      <c r="AA569">
        <f t="shared" si="19"/>
        <v>391</v>
      </c>
      <c r="AB569" s="279">
        <v>45128</v>
      </c>
      <c r="AC569" s="6">
        <v>1</v>
      </c>
      <c r="AD569">
        <f t="shared" si="20"/>
        <v>391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4 8 7 8 3 d d - b 2 c d - 4 4 f 6 - b 6 4 2 - c 7 f c f f c 8 a f 7 0 "   x m l n s = " h t t p : / / s c h e m a s . m i c r o s o f t . c o m / D a t a M a s h u p " > A A A A A P o E A A B Q S w M E F A A C A A g A M n 0 Y V f F k 0 R a n A A A A + Q A A A B I A H A B D b 2 5 m a W c v U G F j a 2 F n Z S 5 4 b W w g o h g A K K A U A A A A A A A A A A A A A A A A A A A A A A A A A A A A h c 8 x D o I w G A X g q 5 D u t K U a I + S n D K y S m J g Y 4 9 a U C o 1 Q D C 2 W u z l 4 J K 8 g i a J u j u / l G 9 5 7 3 O 6 Q j W 0 T X F V v d W d S F G G K A m V k V 2 p T p W h w p 3 C N M g 5 b I c + i U s G E j U 1 G W 6 a o d u 6 S E O K 9 x 3 6 B u 7 4 i j N K I H I r N T t a q F e i D 9 X 8 c a m O d M F I h D v v X G M 5 w v M Q r x m J M J w t k 7 q H Q 5 m v Y N B l T I D 8 l 5 E P j h l 5 x a c P 8 C G S O Q N 4 3 + B N Q S w M E F A A C A A g A M n 0 Y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J 9 G F U A a 4 q v 8 Q E A A C A F A A A T A B w A R m 9 y b X V s Y X M v U 2 V j d G l v b j E u b S C i G A A o o B Q A A A A A A A A A A A A A A A A A A A A A A A A A A A C N k 8 9 u m 0 A Q x u + W / A 4 r e r E l A t j 9 c 2 i E K h t c 4 9 g h F I y S O O o B w 6 a m g V 1 r d 8 H F b p 6 k p z x A X q B S T r T v 1 X X t K m o 1 S E V I u / x G 8 8 0 3 s w v H s U g p Q c F h 7 Z 2 2 W + 0 W X 0 U M J 4 j R O 2 S i D I t 2 C 8 l n k T D 6 W Q K L l 5 p N 4 y L H R H Q u 8 V K z K B F y z z v K S o g 1 f 6 v r m 8 1 G i 8 l S i 7 d 6 z P X b l E Q k J u m J Y K t K T 3 C Z b m l Z 7 b / 0 u 4 J t q 5 M j w i u 6 h 0 U D l X Y 0 8 U W 8 k 6 v Z N / p 9 p a v e 2 D h L 8 1 R g Z i p f F R V Z N C t y w s 2 X r 1 Q 0 I j F N U v L J f P P a M H o q + l B Q g Q N R Z d h 8 3 m o u J f h j V z 1 0 + E J Z 1 A + r L C r r R 8 Q x 2 p b 1 0 8 8 H T G i B 6 u + M l q R + V G T / 8 2 g p E z 1 G c 6 n i 4 C j B j H d + D 0 d F N 0 c 8 y L I g j r K I c V O w 4 q 8 K + Y 9 v R L 7 1 E x L V + l l v z i L C b y n L D z 3 M q z X m n f 8 w p O 5 2 i h 2 J I p f t S 0 G M k k j g e x X t l B 4 a h P Y f S o p 8 i d m R D 8 c u z P 0 Z y K 0 B r G M 5 7 2 H u X o P c n k 5 B P g p 9 k I + H H s i d K e z H 8 U F 9 w 0 B O C D o 1 Z G h i w 8 U n s 6 B B b O K C G f t I 0 G T g z A N H I i N T / x K s f 3 4 F H 9 L 5 N e z X v Y C H 6 y 7 A Y c n K n g O P 1 5 v B l f 0 L k E s l P x y C G c E I 9 h S M m z z N H V h p 7 s N X K g z g q 3 D V c K q L w b / 8 v t t u p a T h 9 z z 9 B V B L A Q I t A B Q A A g A I A D J 9 G F X x Z N E W p w A A A P k A A A A S A A A A A A A A A A A A A A A A A A A A A A B D b 2 5 m a W c v U G F j a 2 F n Z S 5 4 b W x Q S w E C L Q A U A A I A C A A y f R h V D 8 r p q 6 Q A A A D p A A A A E w A A A A A A A A A A A A A A A A D z A A A A W 0 N v b n R l b n R f V H l w Z X N d L n h t b F B L A Q I t A B Q A A g A I A D J 9 G F U A a 4 q v 8 Q E A A C A F A A A T A A A A A A A A A A A A A A A A A O Q B A A B G b 3 J t d W x h c y 9 T Z W N 0 a W 9 u M S 5 t U E s F B g A A A A A D A A M A w g A A A C I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t g Y A A A A A A A A t h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3 J v a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J v a y I g L z 4 8 R W 5 0 c n k g V H l w Z T 0 i R m l s b G V k Q 2 9 t c G x l d G V S Z X N 1 b H R U b 1 d v c m t z a G V l d C I g V m F s d W U 9 I m w x I i A v P j x F b n R y e S B U e X B l P S J R d W V y e U l E I i B W Y W x 1 Z T 0 i c z F k Y m R h M j d l L W U 1 N D c t N D k z Z C 1 h M W Y z L T Y y M D F k N T U 0 M D R h O S I g L z 4 8 R W 5 0 c n k g V H l w Z T 0 i T m F 2 a W d h d G l v b l N 0 Z X B O Y W 1 l I i B W Y W x 1 Z T 0 i c 0 5 h d m l n Y W N l I i A v P j x F b n R y e S B U e X B l P S J G a W x s T G F z d F V w Z G F 0 Z W Q i I F Z h b H V l P S J k M j A y M i 0 w O C 0 y N F Q x M z o 0 M T o z N i 4 2 M D Q 5 O T c 1 W i I g L z 4 8 R W 5 0 c n k g V H l w Z T 0 i R m l s b E V y c m 9 y Q 2 9 1 b n Q i I F Z h b H V l P S J s M S I g L z 4 8 R W 5 0 c n k g V H l w Z T 0 i R m l s b E N v b H V t b l R 5 c G V z I i B W Y W x 1 Z T 0 i c 0 N R V U Z C U V V G Q l F V R k J R V U Z C U V V G Q l F V R k J R V U Z C U V V G Q l F V R k J R V U Z C U V V G Q l E 9 P S I g L z 4 8 R W 5 0 c n k g V H l w Z T 0 i R m l s b E V y c m 9 y Q 2 9 k Z S I g V m F s d W U 9 I n N V b m t u b 3 d u I i A v P j x F b n R y e S B U e X B l P S J G a W x s Q 2 9 s d W 1 u T m F t Z X M i I F Z h b H V l P S J z W y Z x d W 9 0 O 0 R h d H V t J n F 1 b 3 Q 7 L C Z x d W 9 0 O z E g Q V V E J n F 1 b 3 Q 7 L C Z x d W 9 0 O z E g Q k d O J n F 1 b 3 Q 7 L C Z x d W 9 0 O z E g Q l J M J n F 1 b 3 Q 7 L C Z x d W 9 0 O z E g Q 0 F E J n F 1 b 3 Q 7 L C Z x d W 9 0 O z E g Q 0 h G J n F 1 b 3 Q 7 L C Z x d W 9 0 O z E g Q 0 5 Z J n F 1 b 3 Q 7 L C Z x d W 9 0 O z E g R E t L J n F 1 b 3 Q 7 L C Z x d W 9 0 O z E g R V V S J n F 1 b 3 Q 7 L C Z x d W 9 0 O z E g R 0 J Q J n F 1 b 3 Q 7 L C Z x d W 9 0 O z E g S E t E J n F 1 b 3 Q 7 L C Z x d W 9 0 O z E g S F J L J n F 1 b 3 Q 7 L C Z x d W 9 0 O z E w M C B I V U Y m c X V v d D s s J n F 1 b 3 Q 7 M T A w M C B J R F I m c X V v d D s s J n F 1 b 3 Q 7 M S B J T F M m c X V v d D s s J n F 1 b 3 Q 7 M T A w I E l O U i Z x d W 9 0 O y w m c X V v d D s x M D A g S V N L J n F 1 b 3 Q 7 L C Z x d W 9 0 O z E w M C B K U F k m c X V v d D s s J n F 1 b 3 Q 7 M T A w I E t S V y Z x d W 9 0 O y w m c X V v d D s x I E 1 Y T i Z x d W 9 0 O y w m c X V v d D s x I E 1 Z U i Z x d W 9 0 O y w m c X V v d D s x I E 5 P S y Z x d W 9 0 O y w m c X V v d D s x I E 5 a R C Z x d W 9 0 O y w m c X V v d D s x M D A g U E h Q J n F 1 b 3 Q 7 L C Z x d W 9 0 O z E g U E x O J n F 1 b 3 Q 7 L C Z x d W 9 0 O z E g U k 9 O J n F 1 b 3 Q 7 L C Z x d W 9 0 O z E w M C B S V U I m c X V v d D s s J n F 1 b 3 Q 7 M S B T R U s m c X V v d D s s J n F 1 b 3 Q 7 M S B T R 0 Q m c X V v d D s s J n F 1 b 3 Q 7 M T A w I F R I Q i Z x d W 9 0 O y w m c X V v d D s x I F R S W S Z x d W 9 0 O y w m c X V v d D s x I F V T R C Z x d W 9 0 O y w m c X V v d D s x I F h E U i Z x d W 9 0 O y w m c X V v d D s x I F p B U i Z x d W 9 0 O 1 0 i I C 8 + P E V u d H J 5 I F R 5 c G U 9 I k Z p b G x D b 3 V u d C I g V m F s d W U 9 I m w x N j U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z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J v a y 9 a b c S b b s S b b s O 9 I H R 5 c C 5 7 R G F 0 d W 0 s M H 0 m c X V v d D s s J n F 1 b 3 Q 7 U 2 V j d G l v b j E v c m 9 r L 1 p t x J t u x J t u w 7 0 g d H l w L n s x I E F V R C w x f S Z x d W 9 0 O y w m c X V v d D t T Z W N 0 a W 9 u M S 9 y b 2 s v W m 3 E m 2 7 E m 2 7 D v S B 0 e X A u e z E g Q k d O L D J 9 J n F 1 b 3 Q 7 L C Z x d W 9 0 O 1 N l Y 3 R p b 2 4 x L 3 J v a y 9 a b c S b b s S b b s O 9 I H R 5 c C 5 7 M S B C U k w s M 3 0 m c X V v d D s s J n F 1 b 3 Q 7 U 2 V j d G l v b j E v c m 9 r L 1 p t x J t u x J t u w 7 0 g d H l w L n s x I E N B R C w 0 f S Z x d W 9 0 O y w m c X V v d D t T Z W N 0 a W 9 u M S 9 y b 2 s v W m 3 E m 2 7 E m 2 7 D v S B 0 e X A u e z E g Q 0 h G L D V 9 J n F 1 b 3 Q 7 L C Z x d W 9 0 O 1 N l Y 3 R p b 2 4 x L 3 J v a y 9 a b c S b b s S b b s O 9 I H R 5 c C 5 7 M S B D T l k s N n 0 m c X V v d D s s J n F 1 b 3 Q 7 U 2 V j d G l v b j E v c m 9 r L 1 p t x J t u x J t u w 7 0 g d H l w L n s x I E R L S y w 3 f S Z x d W 9 0 O y w m c X V v d D t T Z W N 0 a W 9 u M S 9 y b 2 s v W m 3 E m 2 7 E m 2 7 D v S B 0 e X A u e z E g R V V S L D h 9 J n F 1 b 3 Q 7 L C Z x d W 9 0 O 1 N l Y 3 R p b 2 4 x L 3 J v a y 9 a b c S b b s S b b s O 9 I H R 5 c C 5 7 M S B H Q l A s O X 0 m c X V v d D s s J n F 1 b 3 Q 7 U 2 V j d G l v b j E v c m 9 r L 1 p t x J t u x J t u w 7 0 g d H l w L n s x I E h L R C w x M H 0 m c X V v d D s s J n F 1 b 3 Q 7 U 2 V j d G l v b j E v c m 9 r L 1 p t x J t u x J t u w 7 0 g d H l w L n s x I E h S S y w x M X 0 m c X V v d D s s J n F 1 b 3 Q 7 U 2 V j d G l v b j E v c m 9 r L 1 p t x J t u x J t u w 7 0 g d H l w L n s x M D A g S F V G L D E y f S Z x d W 9 0 O y w m c X V v d D t T Z W N 0 a W 9 u M S 9 y b 2 s v W m 3 E m 2 7 E m 2 7 D v S B 0 e X A u e z E w M D A g S U R S L D E z f S Z x d W 9 0 O y w m c X V v d D t T Z W N 0 a W 9 u M S 9 y b 2 s v W m 3 E m 2 7 E m 2 7 D v S B 0 e X A u e z E g S U x T L D E 0 f S Z x d W 9 0 O y w m c X V v d D t T Z W N 0 a W 9 u M S 9 y b 2 s v W m 3 E m 2 7 E m 2 7 D v S B 0 e X A u e z E w M C B J T l I s M T V 9 J n F 1 b 3 Q 7 L C Z x d W 9 0 O 1 N l Y 3 R p b 2 4 x L 3 J v a y 9 a b c S b b s S b b s O 9 I H R 5 c C 5 7 M T A w I E l T S y w x N n 0 m c X V v d D s s J n F 1 b 3 Q 7 U 2 V j d G l v b j E v c m 9 r L 1 p t x J t u x J t u w 7 0 g d H l w L n s x M D A g S l B Z L D E 3 f S Z x d W 9 0 O y w m c X V v d D t T Z W N 0 a W 9 u M S 9 y b 2 s v W m 3 E m 2 7 E m 2 7 D v S B 0 e X A u e z E w M C B L U l c s M T h 9 J n F 1 b 3 Q 7 L C Z x d W 9 0 O 1 N l Y 3 R p b 2 4 x L 3 J v a y 9 a b c S b b s S b b s O 9 I H R 5 c C 5 7 M S B N W E 4 s M T l 9 J n F 1 b 3 Q 7 L C Z x d W 9 0 O 1 N l Y 3 R p b 2 4 x L 3 J v a y 9 a b c S b b s S b b s O 9 I H R 5 c C 5 7 M S B N W V I s M j B 9 J n F 1 b 3 Q 7 L C Z x d W 9 0 O 1 N l Y 3 R p b 2 4 x L 3 J v a y 9 a b c S b b s S b b s O 9 I H R 5 c C 5 7 M S B O T 0 s s M j F 9 J n F 1 b 3 Q 7 L C Z x d W 9 0 O 1 N l Y 3 R p b 2 4 x L 3 J v a y 9 a b c S b b s S b b s O 9 I H R 5 c C 5 7 M S B O W k Q s M j J 9 J n F 1 b 3 Q 7 L C Z x d W 9 0 O 1 N l Y 3 R p b 2 4 x L 3 J v a y 9 a b c S b b s S b b s O 9 I H R 5 c C 5 7 M T A w I F B I U C w y M 3 0 m c X V v d D s s J n F 1 b 3 Q 7 U 2 V j d G l v b j E v c m 9 r L 1 p t x J t u x J t u w 7 0 g d H l w L n s x I F B M T i w y N H 0 m c X V v d D s s J n F 1 b 3 Q 7 U 2 V j d G l v b j E v c m 9 r L 1 p t x J t u x J t u w 7 0 g d H l w L n s x I F J P T i w y N X 0 m c X V v d D s s J n F 1 b 3 Q 7 U 2 V j d G l v b j E v c m 9 r L 1 p t x J t u x J t u w 7 0 g d H l w L n s x M D A g U l V C L D I 2 f S Z x d W 9 0 O y w m c X V v d D t T Z W N 0 a W 9 u M S 9 y b 2 s v W m 3 E m 2 7 E m 2 7 D v S B 0 e X A u e z E g U 0 V L L D I 3 f S Z x d W 9 0 O y w m c X V v d D t T Z W N 0 a W 9 u M S 9 y b 2 s v W m 3 E m 2 7 E m 2 7 D v S B 0 e X A u e z E g U 0 d E L D I 4 f S Z x d W 9 0 O y w m c X V v d D t T Z W N 0 a W 9 u M S 9 y b 2 s v W m 3 E m 2 7 E m 2 7 D v S B 0 e X A u e z E w M C B U S E I s M j l 9 J n F 1 b 3 Q 7 L C Z x d W 9 0 O 1 N l Y 3 R p b 2 4 x L 3 J v a y 9 a b c S b b s S b b s O 9 I H R 5 c C 5 7 M S B U U l k s M z B 9 J n F 1 b 3 Q 7 L C Z x d W 9 0 O 1 N l Y 3 R p b 2 4 x L 3 J v a y 9 a b c S b b s S b b s O 9 I H R 5 c C 5 7 M S B V U 0 Q s M z F 9 J n F 1 b 3 Q 7 L C Z x d W 9 0 O 1 N l Y 3 R p b 2 4 x L 3 J v a y 9 a b c S b b s S b b s O 9 I H R 5 c C 5 7 M S B Y R F I s M z J 9 J n F 1 b 3 Q 7 L C Z x d W 9 0 O 1 N l Y 3 R p b 2 4 x L 3 J v a y 9 a b c S b b s S b b s O 9 I H R 5 c C 5 7 M S B a Q V I s M z N 9 J n F 1 b 3 Q 7 X S w m c X V v d D t D b 2 x 1 b W 5 D b 3 V u d C Z x d W 9 0 O z o z N C w m c X V v d D t L Z X l D b 2 x 1 b W 5 O Y W 1 l c y Z x d W 9 0 O z p b X S w m c X V v d D t D b 2 x 1 b W 5 J Z G V u d G l 0 a W V z J n F 1 b 3 Q 7 O l s m c X V v d D t T Z W N 0 a W 9 u M S 9 y b 2 s v W m 3 E m 2 7 E m 2 7 D v S B 0 e X A u e 0 R h d H V t L D B 9 J n F 1 b 3 Q 7 L C Z x d W 9 0 O 1 N l Y 3 R p b 2 4 x L 3 J v a y 9 a b c S b b s S b b s O 9 I H R 5 c C 5 7 M S B B V U Q s M X 0 m c X V v d D s s J n F 1 b 3 Q 7 U 2 V j d G l v b j E v c m 9 r L 1 p t x J t u x J t u w 7 0 g d H l w L n s x I E J H T i w y f S Z x d W 9 0 O y w m c X V v d D t T Z W N 0 a W 9 u M S 9 y b 2 s v W m 3 E m 2 7 E m 2 7 D v S B 0 e X A u e z E g Q l J M L D N 9 J n F 1 b 3 Q 7 L C Z x d W 9 0 O 1 N l Y 3 R p b 2 4 x L 3 J v a y 9 a b c S b b s S b b s O 9 I H R 5 c C 5 7 M S B D Q U Q s N H 0 m c X V v d D s s J n F 1 b 3 Q 7 U 2 V j d G l v b j E v c m 9 r L 1 p t x J t u x J t u w 7 0 g d H l w L n s x I E N I R i w 1 f S Z x d W 9 0 O y w m c X V v d D t T Z W N 0 a W 9 u M S 9 y b 2 s v W m 3 E m 2 7 E m 2 7 D v S B 0 e X A u e z E g Q 0 5 Z L D Z 9 J n F 1 b 3 Q 7 L C Z x d W 9 0 O 1 N l Y 3 R p b 2 4 x L 3 J v a y 9 a b c S b b s S b b s O 9 I H R 5 c C 5 7 M S B E S 0 s s N 3 0 m c X V v d D s s J n F 1 b 3 Q 7 U 2 V j d G l v b j E v c m 9 r L 1 p t x J t u x J t u w 7 0 g d H l w L n s x I E V V U i w 4 f S Z x d W 9 0 O y w m c X V v d D t T Z W N 0 a W 9 u M S 9 y b 2 s v W m 3 E m 2 7 E m 2 7 D v S B 0 e X A u e z E g R 0 J Q L D l 9 J n F 1 b 3 Q 7 L C Z x d W 9 0 O 1 N l Y 3 R p b 2 4 x L 3 J v a y 9 a b c S b b s S b b s O 9 I H R 5 c C 5 7 M S B I S 0 Q s M T B 9 J n F 1 b 3 Q 7 L C Z x d W 9 0 O 1 N l Y 3 R p b 2 4 x L 3 J v a y 9 a b c S b b s S b b s O 9 I H R 5 c C 5 7 M S B I U k s s M T F 9 J n F 1 b 3 Q 7 L C Z x d W 9 0 O 1 N l Y 3 R p b 2 4 x L 3 J v a y 9 a b c S b b s S b b s O 9 I H R 5 c C 5 7 M T A w I E h V R i w x M n 0 m c X V v d D s s J n F 1 b 3 Q 7 U 2 V j d G l v b j E v c m 9 r L 1 p t x J t u x J t u w 7 0 g d H l w L n s x M D A w I E l E U i w x M 3 0 m c X V v d D s s J n F 1 b 3 Q 7 U 2 V j d G l v b j E v c m 9 r L 1 p t x J t u x J t u w 7 0 g d H l w L n s x I E l M U y w x N H 0 m c X V v d D s s J n F 1 b 3 Q 7 U 2 V j d G l v b j E v c m 9 r L 1 p t x J t u x J t u w 7 0 g d H l w L n s x M D A g S U 5 S L D E 1 f S Z x d W 9 0 O y w m c X V v d D t T Z W N 0 a W 9 u M S 9 y b 2 s v W m 3 E m 2 7 E m 2 7 D v S B 0 e X A u e z E w M C B J U 0 s s M T Z 9 J n F 1 b 3 Q 7 L C Z x d W 9 0 O 1 N l Y 3 R p b 2 4 x L 3 J v a y 9 a b c S b b s S b b s O 9 I H R 5 c C 5 7 M T A w I E p Q W S w x N 3 0 m c X V v d D s s J n F 1 b 3 Q 7 U 2 V j d G l v b j E v c m 9 r L 1 p t x J t u x J t u w 7 0 g d H l w L n s x M D A g S 1 J X L D E 4 f S Z x d W 9 0 O y w m c X V v d D t T Z W N 0 a W 9 u M S 9 y b 2 s v W m 3 E m 2 7 E m 2 7 D v S B 0 e X A u e z E g T V h O L D E 5 f S Z x d W 9 0 O y w m c X V v d D t T Z W N 0 a W 9 u M S 9 y b 2 s v W m 3 E m 2 7 E m 2 7 D v S B 0 e X A u e z E g T V l S L D I w f S Z x d W 9 0 O y w m c X V v d D t T Z W N 0 a W 9 u M S 9 y b 2 s v W m 3 E m 2 7 E m 2 7 D v S B 0 e X A u e z E g T k 9 L L D I x f S Z x d W 9 0 O y w m c X V v d D t T Z W N 0 a W 9 u M S 9 y b 2 s v W m 3 E m 2 7 E m 2 7 D v S B 0 e X A u e z E g T l p E L D I y f S Z x d W 9 0 O y w m c X V v d D t T Z W N 0 a W 9 u M S 9 y b 2 s v W m 3 E m 2 7 E m 2 7 D v S B 0 e X A u e z E w M C B Q S F A s M j N 9 J n F 1 b 3 Q 7 L C Z x d W 9 0 O 1 N l Y 3 R p b 2 4 x L 3 J v a y 9 a b c S b b s S b b s O 9 I H R 5 c C 5 7 M S B Q T E 4 s M j R 9 J n F 1 b 3 Q 7 L C Z x d W 9 0 O 1 N l Y 3 R p b 2 4 x L 3 J v a y 9 a b c S b b s S b b s O 9 I H R 5 c C 5 7 M S B S T 0 4 s M j V 9 J n F 1 b 3 Q 7 L C Z x d W 9 0 O 1 N l Y 3 R p b 2 4 x L 3 J v a y 9 a b c S b b s S b b s O 9 I H R 5 c C 5 7 M T A w I F J V Q i w y N n 0 m c X V v d D s s J n F 1 b 3 Q 7 U 2 V j d G l v b j E v c m 9 r L 1 p t x J t u x J t u w 7 0 g d H l w L n s x I F N F S y w y N 3 0 m c X V v d D s s J n F 1 b 3 Q 7 U 2 V j d G l v b j E v c m 9 r L 1 p t x J t u x J t u w 7 0 g d H l w L n s x I F N H R C w y O H 0 m c X V v d D s s J n F 1 b 3 Q 7 U 2 V j d G l v b j E v c m 9 r L 1 p t x J t u x J t u w 7 0 g d H l w L n s x M D A g V E h C L D I 5 f S Z x d W 9 0 O y w m c X V v d D t T Z W N 0 a W 9 u M S 9 y b 2 s v W m 3 E m 2 7 E m 2 7 D v S B 0 e X A u e z E g V F J Z L D M w f S Z x d W 9 0 O y w m c X V v d D t T Z W N 0 a W 9 u M S 9 y b 2 s v W m 3 E m 2 7 E m 2 7 D v S B 0 e X A u e z E g V V N E L D M x f S Z x d W 9 0 O y w m c X V v d D t T Z W N 0 a W 9 u M S 9 y b 2 s v W m 3 E m 2 7 E m 2 7 D v S B 0 e X A u e z E g W E R S L D M y f S Z x d W 9 0 O y w m c X V v d D t T Z W N 0 a W 9 u M S 9 y b 2 s v W m 3 E m 2 7 E m 2 7 D v S B 0 e X A u e z E g W k F S L D M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m 9 r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9 r L 1 o l Q z M l Q T F o b G F 2 J U M z J U F E J T I w c 2 U l M j B 6 d i V D M y V C R C V D N S V B M W V u b 3 U l M j A l Q z M l Q k F y b 3 Z u J U M z J U F E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9 r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R P L H o q U a S U O r z d I v B H t Y i A A A A A A C A A A A A A A Q Z g A A A A E A A C A A A A B 8 Q u y 0 K 5 T 7 G I O Q Q Y + S + x Y i H d a r L U 8 U V U D u 9 l b O 2 q t S q A A A A A A O g A A A A A I A A C A A A A B t P q 6 N c 0 3 b r v U 2 c H o u k k N Q d N S / Z M O W U G m r n N C i + i 1 g l V A A A A C H n d z N 8 P y 6 H A e e e 6 D y 6 t T 0 z I K G K P X d I c + 4 + X s y c L 2 f B I z p o c v x S o 2 l O 0 W P 2 K 4 q c e 2 j n W w X x 3 O K M X L / C 9 l j i / d p V L x n 1 X 9 K 4 B 9 1 l W d h K i Y T y E A A A A B Y h A 8 8 o 3 M H q w x 1 K w U Z v u S B A r R g + U Q + Q d f 5 q d X V A 8 t g 4 R j 7 I K p b G o K M w q s g v Q g 5 m F r U b e e 6 I p g M p D G S Y Z v j j j v j < / D a t a M a s h u p > 
</file>

<file path=customXml/itemProps1.xml><?xml version="1.0" encoding="utf-8"?>
<ds:datastoreItem xmlns:ds="http://schemas.openxmlformats.org/officeDocument/2006/customXml" ds:itemID="{8A05FFAB-E59A-48EC-A1E6-BCBC772921A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Příkaz</vt:lpstr>
      <vt:lpstr>Vyúčtování</vt:lpstr>
      <vt:lpstr>Zpráva o cestě</vt:lpstr>
      <vt:lpstr>Kurzy CNB</vt:lpstr>
      <vt:lpstr>Příkaz!Oblast_tisku</vt:lpstr>
      <vt:lpstr>Vyúčtování!Oblast_tisku</vt:lpstr>
      <vt:lpstr>'Vyúčtování test'!Oblast_tisku</vt:lpstr>
      <vt:lpstr>'Zpráva o cestě'!Oblast_tisku</vt:lpstr>
    </vt:vector>
  </TitlesOfParts>
  <Company>JCU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34620603@o365.cuni.cz</dc:creator>
  <cp:lastModifiedBy>Miroslav Sojka</cp:lastModifiedBy>
  <cp:lastPrinted>2022-06-01T15:10:29Z</cp:lastPrinted>
  <dcterms:created xsi:type="dcterms:W3CDTF">2013-12-30T06:45:32Z</dcterms:created>
  <dcterms:modified xsi:type="dcterms:W3CDTF">2022-08-25T10:21:06Z</dcterms:modified>
</cp:coreProperties>
</file>